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工作表1" sheetId="1" r:id="rId1"/>
    <sheet name="Sheet1" sheetId="2" r:id="rId2"/>
  </sheets>
  <definedNames>
    <definedName name="_xlnm._FilterDatabase" localSheetId="0" hidden="1">工作表1!$A$1:$AB$35</definedName>
  </definedNames>
  <calcPr calcId="162913"/>
</workbook>
</file>

<file path=xl/calcChain.xml><?xml version="1.0" encoding="utf-8"?>
<calcChain xmlns="http://schemas.openxmlformats.org/spreadsheetml/2006/main">
  <c r="K25" i="1" l="1"/>
  <c r="N25" i="1"/>
  <c r="J15" i="1" l="1"/>
  <c r="N15" i="1" s="1"/>
  <c r="J35" i="1" l="1"/>
  <c r="L31" i="1" l="1"/>
  <c r="O31" i="1" s="1"/>
  <c r="J16" i="1"/>
  <c r="L21" i="1"/>
  <c r="O21" i="1" s="1"/>
  <c r="L16" i="1"/>
  <c r="Z9" i="1" l="1"/>
  <c r="AA9" i="1" s="1"/>
  <c r="Z7" i="1"/>
  <c r="AA7" i="1" s="1"/>
  <c r="Z8" i="1"/>
  <c r="AA8" i="1" s="1"/>
  <c r="M7" i="1" l="1"/>
  <c r="M9" i="1"/>
  <c r="Z35" i="1"/>
  <c r="AA35" i="1" s="1"/>
  <c r="Z34" i="1"/>
  <c r="Z33" i="1"/>
  <c r="J33" i="1"/>
  <c r="Z32" i="1"/>
  <c r="M32" i="1" s="1"/>
  <c r="J32" i="1"/>
  <c r="Z31" i="1"/>
  <c r="J31" i="1"/>
  <c r="Z30" i="1"/>
  <c r="J30" i="1"/>
  <c r="Z29" i="1"/>
  <c r="M29" i="1" s="1"/>
  <c r="J29" i="1"/>
  <c r="Z28" i="1"/>
  <c r="J28" i="1"/>
  <c r="Z27" i="1"/>
  <c r="J27" i="1"/>
  <c r="Z26" i="1"/>
  <c r="J26" i="1"/>
  <c r="Z25" i="1"/>
  <c r="J25" i="1"/>
  <c r="Z24" i="1"/>
  <c r="M24" i="1" s="1"/>
  <c r="J24" i="1"/>
  <c r="Z23" i="1"/>
  <c r="J23" i="1"/>
  <c r="J9" i="1"/>
  <c r="J8" i="1"/>
  <c r="N8" i="1" s="1"/>
  <c r="J7" i="1"/>
  <c r="N7" i="1" s="1"/>
  <c r="N9" i="1" l="1"/>
  <c r="N26" i="1"/>
  <c r="N28" i="1"/>
  <c r="AA27" i="1"/>
  <c r="N27" i="1"/>
  <c r="AA33" i="1"/>
  <c r="N33" i="1"/>
  <c r="AA30" i="1"/>
  <c r="N30" i="1"/>
  <c r="AA25" i="1"/>
  <c r="N23" i="1"/>
  <c r="N31" i="1"/>
  <c r="AA31" i="1"/>
  <c r="AA23" i="1"/>
  <c r="AA34" i="1"/>
  <c r="AA26" i="1"/>
  <c r="AA29" i="1"/>
  <c r="AA32" i="1"/>
  <c r="AA28" i="1"/>
  <c r="AA24" i="1"/>
  <c r="N24" i="1"/>
  <c r="N32" i="1"/>
  <c r="N29" i="1"/>
  <c r="Z3" i="1" l="1"/>
  <c r="AA3" i="1" s="1"/>
  <c r="Z4" i="1"/>
  <c r="AA4" i="1" s="1"/>
  <c r="Z5" i="1"/>
  <c r="AA5" i="1" s="1"/>
  <c r="Z6" i="1"/>
  <c r="M6" i="1" s="1"/>
  <c r="Z2" i="1"/>
  <c r="AA2" i="1" s="1"/>
  <c r="J6" i="1"/>
  <c r="J5" i="1"/>
  <c r="N5" i="1" s="1"/>
  <c r="J4" i="1"/>
  <c r="N4" i="1" s="1"/>
  <c r="J3" i="1"/>
  <c r="N3" i="1" s="1"/>
  <c r="J2" i="1"/>
  <c r="N6" i="1" l="1"/>
  <c r="M2" i="1"/>
  <c r="N2" i="1" s="1"/>
  <c r="AA6" i="1"/>
  <c r="Z22" i="1"/>
  <c r="AA22" i="1" s="1"/>
  <c r="J22" i="1"/>
  <c r="N22" i="1" s="1"/>
  <c r="Z21" i="1"/>
  <c r="AA21" i="1" s="1"/>
  <c r="J21" i="1"/>
  <c r="N21" i="1" s="1"/>
  <c r="Z20" i="1"/>
  <c r="AA20" i="1" s="1"/>
  <c r="J20" i="1"/>
  <c r="N20" i="1" s="1"/>
  <c r="Z19" i="1"/>
  <c r="J19" i="1"/>
  <c r="Z18" i="1"/>
  <c r="AA18" i="1" s="1"/>
  <c r="J18" i="1"/>
  <c r="N18" i="1" s="1"/>
  <c r="Z17" i="1"/>
  <c r="AA17" i="1" s="1"/>
  <c r="J17" i="1"/>
  <c r="Z16" i="1"/>
  <c r="Z15" i="1"/>
  <c r="AA15" i="1" s="1"/>
  <c r="Z14" i="1"/>
  <c r="AA14" i="1" s="1"/>
  <c r="J14" i="1"/>
  <c r="N14" i="1" s="1"/>
  <c r="Z13" i="1"/>
  <c r="AA13" i="1" s="1"/>
  <c r="J13" i="1"/>
  <c r="N13" i="1" s="1"/>
  <c r="Z12" i="1"/>
  <c r="AA12" i="1" s="1"/>
  <c r="J12" i="1"/>
  <c r="N12" i="1" s="1"/>
  <c r="M19" i="1" l="1"/>
  <c r="N19" i="1" s="1"/>
  <c r="AA19" i="1"/>
  <c r="M17" i="1"/>
  <c r="N17" i="1" s="1"/>
  <c r="M16" i="1"/>
  <c r="AA16" i="1"/>
  <c r="N16" i="1" l="1"/>
  <c r="O16" i="1"/>
</calcChain>
</file>

<file path=xl/comments1.xml><?xml version="1.0" encoding="utf-8"?>
<comments xmlns="http://schemas.openxmlformats.org/spreadsheetml/2006/main">
  <authors>
    <author>作者</author>
  </authors>
  <commentList>
    <comment ref="K25" authorId="0" shapeId="0">
      <text>
        <r>
          <rPr>
            <sz val="9"/>
            <color indexed="81"/>
            <rFont val="宋体"/>
            <family val="3"/>
            <charset val="134"/>
          </rPr>
          <t xml:space="preserve">德朗报价0.057元议价0.042元，经请示顾问确认按新机种8折核算0.035元再与黄总议价最终同意0.035元生产。
</t>
        </r>
      </text>
    </comment>
  </commentList>
</comments>
</file>

<file path=xl/sharedStrings.xml><?xml version="1.0" encoding="utf-8"?>
<sst xmlns="http://schemas.openxmlformats.org/spreadsheetml/2006/main" count="336" uniqueCount="246">
  <si>
    <t>序号</t>
    <phoneticPr fontId="2" type="noConversion"/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</si>
  <si>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</si>
  <si>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</si>
  <si>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</si>
  <si>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</si>
  <si>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</si>
  <si>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</si>
  <si>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</si>
  <si>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</si>
  <si>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</si>
  <si>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</si>
  <si>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</si>
  <si>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</si>
  <si>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</si>
  <si>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</si>
  <si>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</si>
  <si>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</si>
  <si>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Forecast /月</t>
  </si>
  <si>
    <t>备注</t>
  </si>
  <si>
    <t>样品状况</t>
    <phoneticPr fontId="2" type="noConversion"/>
  </si>
  <si>
    <t>ROBYN</t>
  </si>
  <si>
    <t>FRONT_CABINE</t>
  </si>
  <si>
    <t>PC+ABS+85%PCR/HAIER/NH-9012-CT05272/BLACK</t>
  </si>
  <si>
    <t>SM8191</t>
  </si>
  <si>
    <t>DONGLE TOP</t>
  </si>
  <si>
    <t>250X200X256</t>
  </si>
  <si>
    <t>DONGLE BOTTOM</t>
  </si>
  <si>
    <t>300X250X221</t>
  </si>
  <si>
    <t>LOWER_CASE</t>
  </si>
  <si>
    <t>FX-218-005</t>
  </si>
  <si>
    <t>ok</t>
    <phoneticPr fontId="2" type="noConversion"/>
  </si>
  <si>
    <t>MCR1908</t>
  </si>
  <si>
    <t>TOP_KEY</t>
  </si>
  <si>
    <t>ABS/TAIRILAC/AG15A1/TITAN_GRAY_FR3002</t>
  </si>
  <si>
    <t>FX-340-001</t>
  </si>
  <si>
    <t>SM9020</t>
  </si>
  <si>
    <t>KEY_PLATE注塑成型</t>
  </si>
  <si>
    <t>ABS/BASF/GP22/COAL_BLACK</t>
  </si>
  <si>
    <t>机械手取出治具</t>
    <phoneticPr fontId="2" type="noConversion"/>
  </si>
  <si>
    <t>FX-106-063</t>
    <phoneticPr fontId="2" type="noConversion"/>
  </si>
  <si>
    <t>配套组装</t>
    <phoneticPr fontId="2" type="noConversion"/>
  </si>
  <si>
    <t>3589</t>
    <phoneticPr fontId="2" type="noConversion"/>
  </si>
  <si>
    <t>200T</t>
    <phoneticPr fontId="2" type="noConversion"/>
  </si>
  <si>
    <t>27</t>
    <phoneticPr fontId="2" type="noConversion"/>
  </si>
  <si>
    <t>UPPER_CASE_ASSEMBLY</t>
  </si>
  <si>
    <t>101106033001A</t>
  </si>
  <si>
    <t>无治具</t>
  </si>
  <si>
    <t>3435</t>
  </si>
  <si>
    <t>RUGBY</t>
  </si>
  <si>
    <t>DOWNFIRING_LIGHT_BOX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</si>
  <si>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</si>
  <si>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</si>
  <si>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</si>
  <si>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</si>
  <si>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</si>
  <si>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</si>
  <si>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</si>
  <si>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</si>
  <si>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</si>
  <si>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</si>
  <si>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</si>
  <si>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</si>
  <si>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</si>
  <si>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</si>
  <si>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</si>
  <si>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</si>
  <si>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</si>
  <si>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</si>
  <si>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顶钧含税价13%</t>
    <phoneticPr fontId="2" type="noConversion"/>
  </si>
  <si>
    <t>用人</t>
    <phoneticPr fontId="2" type="noConversion"/>
  </si>
  <si>
    <t>含用人費(含稅)</t>
    <phoneticPr fontId="2" type="noConversion"/>
  </si>
  <si>
    <t>產能</t>
    <phoneticPr fontId="2" type="noConversion"/>
  </si>
  <si>
    <t>0260</t>
    <phoneticPr fontId="2" type="noConversion"/>
  </si>
  <si>
    <t>600X600X804</t>
    <phoneticPr fontId="2" type="noConversion"/>
  </si>
  <si>
    <t>机械手取出治具</t>
    <phoneticPr fontId="2" type="noConversion"/>
  </si>
  <si>
    <t>FX-471-002</t>
    <phoneticPr fontId="2" type="noConversion"/>
  </si>
  <si>
    <t>0270</t>
    <phoneticPr fontId="2" type="noConversion"/>
  </si>
  <si>
    <t>ROBYN</t>
    <phoneticPr fontId="2" type="noConversion"/>
  </si>
  <si>
    <t xml:space="preserve"> REAR_CABINET</t>
    <phoneticPr fontId="2" type="noConversion"/>
  </si>
  <si>
    <t>217471012601A</t>
    <phoneticPr fontId="2" type="noConversion"/>
  </si>
  <si>
    <t>PC+ABS+85%PCR/HAIER/NH-9012-CT05272/BLACK</t>
    <phoneticPr fontId="2" type="noConversion"/>
  </si>
  <si>
    <t>600X600X664</t>
    <phoneticPr fontId="2" type="noConversion"/>
  </si>
  <si>
    <t>机械手取出治具</t>
    <phoneticPr fontId="2" type="noConversion"/>
  </si>
  <si>
    <t>201243013001B 201343013001A</t>
    <phoneticPr fontId="2" type="noConversion"/>
  </si>
  <si>
    <t>山聖</t>
    <phoneticPr fontId="2" type="noConversion"/>
  </si>
  <si>
    <t>201243013101A 201343013101A</t>
    <phoneticPr fontId="2" type="noConversion"/>
  </si>
  <si>
    <t>SM8123</t>
    <phoneticPr fontId="2" type="noConversion"/>
  </si>
  <si>
    <t>450X550X481</t>
    <phoneticPr fontId="2" type="noConversion"/>
  </si>
  <si>
    <t>ok</t>
    <phoneticPr fontId="2" type="noConversion"/>
  </si>
  <si>
    <t>201340010301C</t>
    <phoneticPr fontId="2" type="noConversion"/>
  </si>
  <si>
    <t>300X450X474</t>
    <phoneticPr fontId="2" type="noConversion"/>
  </si>
  <si>
    <t>打模治具</t>
    <phoneticPr fontId="2" type="noConversion"/>
  </si>
  <si>
    <t>3588</t>
    <phoneticPr fontId="2" type="noConversion"/>
  </si>
  <si>
    <t>4</t>
    <phoneticPr fontId="2" type="noConversion"/>
  </si>
  <si>
    <t>200T</t>
    <phoneticPr fontId="2" type="noConversion"/>
  </si>
  <si>
    <t>25</t>
    <phoneticPr fontId="2" type="noConversion"/>
  </si>
  <si>
    <t>201106010301A</t>
    <phoneticPr fontId="2" type="noConversion"/>
  </si>
  <si>
    <t>8.69g</t>
    <phoneticPr fontId="2" type="noConversion"/>
  </si>
  <si>
    <t>1.49g</t>
    <phoneticPr fontId="2" type="noConversion"/>
  </si>
  <si>
    <t>500*400*436</t>
    <phoneticPr fontId="2" type="noConversion"/>
  </si>
  <si>
    <t>1</t>
    <phoneticPr fontId="2" type="noConversion"/>
  </si>
  <si>
    <t>15.9g</t>
    <phoneticPr fontId="2" type="noConversion"/>
  </si>
  <si>
    <t>6.15g</t>
    <phoneticPr fontId="2" type="noConversion"/>
  </si>
  <si>
    <t>500*400*386</t>
    <phoneticPr fontId="2" type="noConversion"/>
  </si>
  <si>
    <t>3</t>
    <phoneticPr fontId="2" type="noConversion"/>
  </si>
  <si>
    <t>5</t>
    <phoneticPr fontId="2" type="noConversion"/>
  </si>
  <si>
    <t>117351082027B</t>
    <phoneticPr fontId="2" type="noConversion"/>
  </si>
  <si>
    <t>山聖</t>
    <phoneticPr fontId="2" type="noConversion"/>
  </si>
  <si>
    <t>标准週期</t>
    <phoneticPr fontId="2" type="noConversion"/>
  </si>
  <si>
    <t>实际周期</t>
    <phoneticPr fontId="2" type="noConversion"/>
  </si>
  <si>
    <t>產品單
重(G)</t>
    <phoneticPr fontId="2" type="noConversion"/>
  </si>
  <si>
    <t>4022 /4021</t>
    <phoneticPr fontId="2" type="noConversion"/>
  </si>
  <si>
    <t>LASSO</t>
    <phoneticPr fontId="2" type="noConversion"/>
  </si>
  <si>
    <t>BASKET_MIDRANGE_LASSO</t>
    <phoneticPr fontId="2" type="noConversion"/>
  </si>
  <si>
    <t>117429063001A</t>
    <phoneticPr fontId="2" type="noConversion"/>
  </si>
  <si>
    <t>PC+20%GF/SABIC/LEXAN/3412ECR/BLACK</t>
    <phoneticPr fontId="2" type="noConversion"/>
  </si>
  <si>
    <t>300X550X434</t>
    <phoneticPr fontId="2" type="noConversion"/>
  </si>
  <si>
    <t>加纤料管</t>
    <phoneticPr fontId="2" type="noConversion"/>
  </si>
  <si>
    <t>FX-429-001</t>
  </si>
  <si>
    <t>ok</t>
    <phoneticPr fontId="2" type="noConversion"/>
  </si>
  <si>
    <t>4023 /4024</t>
    <phoneticPr fontId="2" type="noConversion"/>
  </si>
  <si>
    <t>LASSO</t>
    <phoneticPr fontId="2" type="noConversion"/>
  </si>
  <si>
    <t>BASKET_MIDRANGE_LASSO</t>
    <phoneticPr fontId="2" type="noConversion"/>
  </si>
  <si>
    <t>PC+40%GF/SABIC/LEXAN/3414ECR/BLACK</t>
  </si>
  <si>
    <t>560X600X574</t>
    <phoneticPr fontId="2" type="noConversion"/>
  </si>
  <si>
    <t>加纤料管</t>
    <phoneticPr fontId="2" type="noConversion"/>
  </si>
  <si>
    <t>FX-429-002
FX-429-003</t>
    <phoneticPr fontId="2" type="noConversion"/>
  </si>
  <si>
    <t>4026 /4027</t>
    <phoneticPr fontId="2" type="noConversion"/>
  </si>
  <si>
    <t>FRONT_LEFT_ACOUSTIC_ENCLOSURE_LASSO</t>
    <phoneticPr fontId="2" type="noConversion"/>
  </si>
  <si>
    <t>510X550X571</t>
    <phoneticPr fontId="2" type="noConversion"/>
  </si>
  <si>
    <t>FX-429-005
FX-429-006</t>
    <phoneticPr fontId="2" type="noConversion"/>
  </si>
  <si>
    <t>4029 /4030</t>
    <phoneticPr fontId="2" type="noConversion"/>
  </si>
  <si>
    <t>FRONT_RIGHT_ACOUSTIC_ENCLOSURE_LASSO</t>
  </si>
  <si>
    <t>510X550X570</t>
    <phoneticPr fontId="2" type="noConversion"/>
  </si>
  <si>
    <t>FX-429-008
FX-429-009</t>
    <phoneticPr fontId="2" type="noConversion"/>
  </si>
  <si>
    <t>3629 / 3818</t>
    <phoneticPr fontId="2" type="noConversion"/>
  </si>
  <si>
    <t>SM906B</t>
    <phoneticPr fontId="2" type="noConversion"/>
  </si>
  <si>
    <t>101264027004A</t>
  </si>
  <si>
    <t>ABS/JIECHENG/757BK(002)/BLACK</t>
  </si>
  <si>
    <t>500X750X576</t>
    <phoneticPr fontId="2" type="noConversion"/>
  </si>
  <si>
    <t>无</t>
  </si>
  <si>
    <t>ok</t>
    <phoneticPr fontId="2" type="noConversion"/>
  </si>
  <si>
    <t>随机粉碎</t>
    <phoneticPr fontId="2" type="noConversion"/>
  </si>
  <si>
    <t>随机粉碎</t>
    <phoneticPr fontId="2" type="noConversion"/>
  </si>
  <si>
    <t>ABS/TAIRILAC/AG15A1/#NJ/  ABS/TAIRILAC/AG15A1/TITAN_GRAY_FR3002</t>
    <phoneticPr fontId="2" type="noConversion"/>
  </si>
  <si>
    <t>塑胶原料ABS</t>
    <phoneticPr fontId="2" type="noConversion"/>
  </si>
  <si>
    <t>德雅</t>
    <phoneticPr fontId="2" type="noConversion"/>
  </si>
  <si>
    <t>450X400X578</t>
    <phoneticPr fontId="2" type="noConversion"/>
  </si>
  <si>
    <t>REAR, LEFT ACOUSTIC ENCLOSURE, LASSO</t>
    <phoneticPr fontId="2" type="noConversion"/>
  </si>
  <si>
    <t>117429063005A</t>
    <phoneticPr fontId="11" type="noConversion"/>
  </si>
  <si>
    <t>加纤料管</t>
    <phoneticPr fontId="2" type="noConversion"/>
  </si>
  <si>
    <t>FX-429-007</t>
    <phoneticPr fontId="2" type="noConversion"/>
  </si>
  <si>
    <t>ok</t>
    <phoneticPr fontId="2" type="noConversion"/>
  </si>
  <si>
    <t>LASSO</t>
    <phoneticPr fontId="2" type="noConversion"/>
  </si>
  <si>
    <t>REAR, RIGHT ACOUTSTIC ENCLOSURE, LASSO</t>
    <phoneticPr fontId="2" type="noConversion"/>
  </si>
  <si>
    <t>117429063007A</t>
    <phoneticPr fontId="11" type="noConversion"/>
  </si>
  <si>
    <t>PC+40%GF/SABIC/LEXAN/3414ECR/BLACK</t>
    <phoneticPr fontId="2" type="noConversion"/>
  </si>
  <si>
    <t>450X400X573</t>
    <phoneticPr fontId="2" type="noConversion"/>
  </si>
  <si>
    <t>FX-429-010</t>
    <phoneticPr fontId="2" type="noConversion"/>
  </si>
  <si>
    <t>2+2</t>
    <phoneticPr fontId="2" type="noConversion"/>
  </si>
  <si>
    <t>LEFT/RIGHT_REAR_CENTER_ACOUSTIC_ENCLOSURE_LASSO</t>
    <phoneticPr fontId="2" type="noConversion"/>
  </si>
  <si>
    <t>117429063008A/09A</t>
    <phoneticPr fontId="2" type="noConversion"/>
  </si>
  <si>
    <t>450X400X538</t>
    <phoneticPr fontId="2" type="noConversion"/>
  </si>
  <si>
    <t>加纤料管</t>
    <phoneticPr fontId="2" type="noConversion"/>
  </si>
  <si>
    <t>无治具</t>
    <phoneticPr fontId="2" type="noConversion"/>
  </si>
  <si>
    <t>ok</t>
    <phoneticPr fontId="2" type="noConversion"/>
  </si>
  <si>
    <t>MONACO</t>
  </si>
  <si>
    <t>BAFFKET_ACOUSTIC_ASSEMBLY</t>
  </si>
  <si>
    <t>(有孔)117355063001D    (无孔)117355063002B</t>
    <phoneticPr fontId="2" type="noConversion"/>
  </si>
  <si>
    <t>46.48</t>
  </si>
  <si>
    <t>PC+40%GF/TRINSEO/8704/IC7700338</t>
  </si>
  <si>
    <t>450X450X545</t>
  </si>
  <si>
    <t>机械手取出治具</t>
    <phoneticPr fontId="2" type="noConversion"/>
  </si>
  <si>
    <t>FX-355-001</t>
  </si>
  <si>
    <t>A09生产中</t>
    <phoneticPr fontId="2" type="noConversion"/>
  </si>
  <si>
    <t>SK7220</t>
  </si>
  <si>
    <t>LOWER_CASE_ASSEMBLY</t>
  </si>
  <si>
    <t>102459027004A</t>
    <phoneticPr fontId="2" type="noConversion"/>
  </si>
  <si>
    <t>BRACKET注塑成型</t>
  </si>
  <si>
    <t>202459012302A</t>
  </si>
  <si>
    <t>LIBRA</t>
  </si>
  <si>
    <t>TOP_DONGLE注塑成型</t>
  </si>
  <si>
    <t>201095013001A</t>
    <phoneticPr fontId="2" type="noConversion"/>
  </si>
  <si>
    <t>DONGLE_BOTTOM</t>
  </si>
  <si>
    <t>E04生产中</t>
    <phoneticPr fontId="2" type="noConversion"/>
  </si>
  <si>
    <t>BATTERY_COVER</t>
  </si>
  <si>
    <t>ABS/JIECHENG/GP22BK002/BLACK</t>
  </si>
  <si>
    <t>E05生产中</t>
    <phoneticPr fontId="2" type="noConversion"/>
  </si>
  <si>
    <t>BOTTOM_CASE</t>
  </si>
  <si>
    <t>101095005003B</t>
  </si>
  <si>
    <t>机械手取出治具</t>
    <phoneticPr fontId="2" type="noConversion"/>
  </si>
  <si>
    <t>E11生产中</t>
    <phoneticPr fontId="2" type="noConversion"/>
  </si>
  <si>
    <t>SCROLL_ROLLER</t>
  </si>
  <si>
    <t>POM/POLY/M90-44/BLACK[R1]</t>
  </si>
  <si>
    <t>BATTERY_BOX</t>
  </si>
  <si>
    <t>G04生产中</t>
    <phoneticPr fontId="2" type="noConversion"/>
  </si>
  <si>
    <t>TOP_KEY注塑成型</t>
  </si>
  <si>
    <t>201095010304A</t>
    <phoneticPr fontId="2" type="noConversion"/>
  </si>
  <si>
    <t>G08生产中</t>
    <phoneticPr fontId="2" type="noConversion"/>
  </si>
  <si>
    <t>TOP_CASE注塑成型</t>
  </si>
  <si>
    <t>G11生产中</t>
    <phoneticPr fontId="2" type="noConversion"/>
  </si>
  <si>
    <t>SK3320</t>
  </si>
  <si>
    <t>BOTTOM_CASE注塑成型</t>
  </si>
  <si>
    <t>202328027002A</t>
    <phoneticPr fontId="2" type="noConversion"/>
  </si>
  <si>
    <t>HIPS/TAIRLLAC/HP8250/V2-BLACK</t>
  </si>
  <si>
    <t>FRONT_TILT</t>
  </si>
  <si>
    <t>ABS/FORMOSA/AG15A1/V2-BLACK</t>
  </si>
  <si>
    <t>随机粉碎</t>
    <phoneticPr fontId="2" type="noConversion"/>
  </si>
  <si>
    <t>LASSO</t>
    <phoneticPr fontId="2" type="noConversion"/>
  </si>
  <si>
    <t>不發</t>
    <phoneticPr fontId="2" type="noConversion"/>
  </si>
  <si>
    <t>德雅</t>
    <phoneticPr fontId="2" type="noConversion"/>
  </si>
  <si>
    <t>德雅</t>
    <phoneticPr fontId="2" type="noConversion"/>
  </si>
  <si>
    <t>均強</t>
    <phoneticPr fontId="2" type="noConversion"/>
  </si>
  <si>
    <t>3331/4043</t>
    <phoneticPr fontId="2" type="noConversion"/>
  </si>
  <si>
    <t>山聖</t>
  </si>
  <si>
    <t>配套生產</t>
    <phoneticPr fontId="2" type="noConversion"/>
  </si>
  <si>
    <t>均強</t>
    <phoneticPr fontId="2" type="noConversion"/>
  </si>
  <si>
    <t>均強</t>
    <phoneticPr fontId="2" type="noConversion"/>
  </si>
  <si>
    <t>不發</t>
    <phoneticPr fontId="2" type="noConversion"/>
  </si>
  <si>
    <t>不發</t>
    <phoneticPr fontId="2" type="noConversion"/>
  </si>
  <si>
    <t>已發均強</t>
    <phoneticPr fontId="2" type="noConversion"/>
  </si>
  <si>
    <t>HIPS/JIECHEN/HP8250/BLACK</t>
    <phoneticPr fontId="2" type="noConversion"/>
  </si>
  <si>
    <t>ABS/EAGLE/BLACK</t>
    <phoneticPr fontId="2" type="noConversion"/>
  </si>
  <si>
    <t>ABS/JIECHENG/GP22BK002/BLACK</t>
    <phoneticPr fontId="2" type="noConversion"/>
  </si>
  <si>
    <t>ABS/JIECHENG/GP22BK002/BLACK</t>
    <phoneticPr fontId="2" type="noConversion"/>
  </si>
  <si>
    <t>ABS/JIECHENG/GP22BK002/BLACK</t>
    <phoneticPr fontId="2" type="noConversion"/>
  </si>
  <si>
    <t>要氮氣</t>
    <phoneticPr fontId="2" type="noConversion"/>
  </si>
  <si>
    <t>含用人費(含稅)</t>
    <phoneticPr fontId="2" type="noConversion"/>
  </si>
  <si>
    <t>含用人費(含稅)更新</t>
    <phoneticPr fontId="2" type="noConversion"/>
  </si>
  <si>
    <t>RUGBY</t>
    <phoneticPr fontId="2" type="noConversion"/>
  </si>
  <si>
    <t>顶钧含税价13%</t>
    <phoneticPr fontId="2" type="noConversion"/>
  </si>
  <si>
    <t>顶钧含税价更新</t>
    <phoneticPr fontId="2" type="noConversion"/>
  </si>
  <si>
    <t>德雅</t>
    <phoneticPr fontId="2" type="noConversion"/>
  </si>
  <si>
    <t>117429063002A</t>
    <phoneticPr fontId="11" type="noConversion"/>
  </si>
  <si>
    <t>117429063004A</t>
    <phoneticPr fontId="2" type="noConversion"/>
  </si>
  <si>
    <t>均強/德雅</t>
    <phoneticPr fontId="2" type="noConversion"/>
  </si>
  <si>
    <t>117429063006A</t>
    <phoneticPr fontId="2" type="noConversion"/>
  </si>
  <si>
    <t>217471012501A</t>
    <phoneticPr fontId="2" type="noConversion"/>
  </si>
  <si>
    <t>101218027012D</t>
    <phoneticPr fontId="2" type="noConversion"/>
  </si>
  <si>
    <r>
      <rPr>
        <sz val="9"/>
        <color rgb="FFFF0000"/>
        <rFont val="宋体"/>
        <family val="3"/>
        <charset val="134"/>
      </rPr>
      <t>此</t>
    </r>
    <r>
      <rPr>
        <sz val="9"/>
        <color rgb="FFFF0000"/>
        <rFont val="新細明體"/>
        <family val="1"/>
        <charset val="134"/>
      </rPr>
      <t>24.12.27</t>
    </r>
    <r>
      <rPr>
        <sz val="9"/>
        <color rgb="FFFF0000"/>
        <rFont val="宋体"/>
        <family val="3"/>
        <charset val="134"/>
      </rPr>
      <t>明细</t>
    </r>
    <r>
      <rPr>
        <sz val="9"/>
        <color rgb="FFFF0000"/>
        <rFont val="新細明體"/>
        <family val="1"/>
        <charset val="134"/>
      </rPr>
      <t>2557</t>
    </r>
    <r>
      <rPr>
        <sz val="9"/>
        <color rgb="FFFF0000"/>
        <rFont val="宋体"/>
        <family val="3"/>
        <charset val="134"/>
      </rPr>
      <t>已在</t>
    </r>
    <r>
      <rPr>
        <sz val="9"/>
        <color rgb="FFFF0000"/>
        <rFont val="新細明體"/>
        <family val="1"/>
        <charset val="134"/>
      </rPr>
      <t>25.1.23</t>
    </r>
    <r>
      <rPr>
        <sz val="9"/>
        <color rgb="FFFF0000"/>
        <rFont val="宋体"/>
        <family val="3"/>
        <charset val="134"/>
      </rPr>
      <t>顾问邮件明细内按最新</t>
    </r>
    <r>
      <rPr>
        <sz val="9"/>
        <color rgb="FFFF0000"/>
        <rFont val="新細明體"/>
        <family val="1"/>
        <charset val="134"/>
      </rPr>
      <t>1.23</t>
    </r>
    <r>
      <rPr>
        <sz val="9"/>
        <color rgb="FFFF0000"/>
        <rFont val="宋体"/>
        <family val="3"/>
        <charset val="134"/>
      </rPr>
      <t>号内核价</t>
    </r>
    <phoneticPr fontId="2" type="noConversion"/>
  </si>
  <si>
    <t>此24.12.27明细2557已在25.1.23顾问邮件明细内按最新1.23号内核价</t>
    <phoneticPr fontId="2" type="noConversion"/>
  </si>
  <si>
    <t>此24.12.27明细2557已在25.1.23顾问邮件明细内按最新1.23号内核价</t>
    <phoneticPr fontId="2" type="noConversion"/>
  </si>
  <si>
    <t>此24.12.27明细2557已在25.1.23顾问邮件明细内按最新1.23号内核价</t>
    <phoneticPr fontId="2" type="noConversion"/>
  </si>
  <si>
    <t>102328027004A</t>
    <phoneticPr fontId="2" type="noConversion"/>
  </si>
  <si>
    <t>新机种费率8折</t>
    <phoneticPr fontId="2" type="noConversion"/>
  </si>
  <si>
    <t>2931生管开立模具外发单德朗，2075下盖德朗生产组装，2931为脚架配套。2/4号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</si>
</sst>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;[Red]0"/>
    <numFmt numFmtId="178" formatCode="0.00;[Red]0.00"/>
    <numFmt numFmtId="179" formatCode="0_ "/>
    <numFmt numFmtId="180" formatCode="0_ ;[Red]\-0\ "/>
    <numFmt numFmtId="181" formatCode="0.000_);[Red]\(0.000\)"/>
    <numFmt numFmtId="182" formatCode="&quot; &quot;[$EUR]* #,##0.00&quot; &quot;;&quot; &quot;[$EUR]* \(#,##0.00\);&quot; &quot;[$EUR]* &quot;-&quot;??&quot; &quot;"/>
    <numFmt numFmtId="183" formatCode="0.000;[Red]0.000"/>
    <numFmt numFmtId="184" formatCode="0.000_ "/>
    <numFmt numFmtId="185" formatCode="#,##0_);\(#,##0\)"/>
    <numFmt numFmtId="186" formatCode="#,##0.00_);\(#,##0.00\)"/>
    <numFmt numFmtId="187" formatCode="#,##0_ "/>
  </numFmts>
  <fonts count="31"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MS Sans Serif"/>
      <family val="1"/>
    </font>
    <font>
      <sz val="12"/>
      <color rgb="FF000000"/>
      <name val="宋体"/>
      <family val="3"/>
      <charset val="134"/>
    </font>
    <font>
      <sz val="12"/>
      <name val="新細明體"/>
      <family val="1"/>
      <charset val="134"/>
    </font>
    <font>
      <sz val="12"/>
      <color indexed="8"/>
      <name val="新細明體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新細明體"/>
      <family val="1"/>
      <charset val="134"/>
    </font>
    <font>
      <sz val="11"/>
      <color theme="1"/>
      <name val="宋体"/>
      <family val="2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宋体"/>
      <family val="2"/>
      <scheme val="minor"/>
    </font>
    <font>
      <sz val="12"/>
      <color rgb="FFFF0000"/>
      <name val="宋体"/>
      <family val="3"/>
      <charset val="134"/>
    </font>
    <font>
      <sz val="12"/>
      <color rgb="FFFF0000"/>
      <name val="新細明體"/>
      <family val="1"/>
      <charset val="134"/>
    </font>
    <font>
      <sz val="12"/>
      <color rgb="FFFF0000"/>
      <name val="宋体"/>
      <family val="2"/>
      <scheme val="minor"/>
    </font>
    <font>
      <b/>
      <sz val="12"/>
      <color rgb="FFFF0000"/>
      <name val="宋体"/>
      <family val="2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color rgb="FFFF0000"/>
      <name val="新細明體"/>
      <family val="1"/>
      <charset val="134"/>
    </font>
    <font>
      <sz val="9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0"/>
      <color theme="1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182" fontId="0" fillId="0" borderId="0"/>
    <xf numFmtId="182" fontId="3" fillId="0" borderId="0">
      <alignment vertical="center"/>
    </xf>
    <xf numFmtId="182" fontId="4" fillId="0" borderId="0">
      <alignment vertical="center"/>
    </xf>
    <xf numFmtId="182" fontId="6" fillId="0" borderId="0"/>
    <xf numFmtId="182" fontId="5" fillId="0" borderId="0">
      <alignment vertical="center"/>
    </xf>
    <xf numFmtId="182" fontId="5" fillId="0" borderId="0">
      <alignment vertical="center"/>
    </xf>
    <xf numFmtId="182" fontId="9" fillId="0" borderId="0">
      <alignment vertical="center"/>
    </xf>
    <xf numFmtId="182" fontId="10" fillId="0" borderId="0"/>
    <xf numFmtId="182" fontId="9" fillId="0" borderId="0">
      <alignment vertical="center"/>
    </xf>
  </cellStyleXfs>
  <cellXfs count="172">
    <xf numFmtId="182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8" fontId="3" fillId="2" borderId="1" xfId="1" applyNumberFormat="1" applyFont="1" applyFill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5" fillId="2" borderId="2" xfId="2" applyNumberFormat="1" applyFont="1" applyFill="1" applyBorder="1" applyAlignment="1">
      <alignment horizontal="center" vertical="center" shrinkToFit="1"/>
    </xf>
    <xf numFmtId="179" fontId="5" fillId="2" borderId="2" xfId="2" applyNumberFormat="1" applyFont="1" applyFill="1" applyBorder="1" applyAlignment="1">
      <alignment horizontal="center" vertical="center" shrinkToFit="1"/>
    </xf>
    <xf numFmtId="180" fontId="5" fillId="2" borderId="2" xfId="3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181" fontId="8" fillId="0" borderId="2" xfId="4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 shrinkToFit="1"/>
    </xf>
    <xf numFmtId="182" fontId="1" fillId="2" borderId="2" xfId="0" applyFont="1" applyFill="1" applyBorder="1" applyAlignment="1">
      <alignment horizontal="center" vertical="center" shrinkToFit="1"/>
    </xf>
    <xf numFmtId="177" fontId="1" fillId="2" borderId="2" xfId="0" applyNumberFormat="1" applyFont="1" applyFill="1" applyBorder="1" applyAlignment="1">
      <alignment horizontal="center" vertical="center" shrinkToFit="1"/>
    </xf>
    <xf numFmtId="49" fontId="5" fillId="2" borderId="2" xfId="5" applyNumberFormat="1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49" fontId="5" fillId="0" borderId="2" xfId="5" applyNumberFormat="1" applyFont="1" applyFill="1" applyBorder="1" applyAlignment="1">
      <alignment horizontal="center" vertical="center" shrinkToFit="1"/>
    </xf>
    <xf numFmtId="182" fontId="1" fillId="0" borderId="2" xfId="0" applyFont="1" applyFill="1" applyBorder="1" applyAlignment="1">
      <alignment horizontal="center" vertical="center" shrinkToFit="1"/>
    </xf>
    <xf numFmtId="177" fontId="5" fillId="0" borderId="2" xfId="6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177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 shrinkToFit="1"/>
    </xf>
    <xf numFmtId="178" fontId="3" fillId="0" borderId="1" xfId="1" applyNumberFormat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80" fontId="5" fillId="0" borderId="2" xfId="3" applyNumberFormat="1" applyFont="1" applyFill="1" applyBorder="1" applyAlignment="1">
      <alignment horizontal="center" vertical="center" shrinkToFit="1"/>
    </xf>
    <xf numFmtId="49" fontId="1" fillId="0" borderId="2" xfId="7" applyNumberFormat="1" applyFont="1" applyBorder="1" applyAlignment="1">
      <alignment horizontal="center" vertical="center" shrinkToFit="1"/>
    </xf>
    <xf numFmtId="177" fontId="1" fillId="2" borderId="2" xfId="7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82" fontId="3" fillId="0" borderId="2" xfId="0" applyFont="1" applyFill="1" applyBorder="1" applyAlignment="1">
      <alignment horizontal="center" vertical="center" shrinkToFit="1"/>
    </xf>
    <xf numFmtId="181" fontId="1" fillId="0" borderId="2" xfId="0" applyNumberFormat="1" applyFont="1" applyFill="1" applyBorder="1" applyAlignment="1">
      <alignment horizontal="center" vertical="center" shrinkToFit="1"/>
    </xf>
    <xf numFmtId="183" fontId="1" fillId="0" borderId="2" xfId="0" applyNumberFormat="1" applyFont="1" applyFill="1" applyBorder="1" applyAlignment="1">
      <alignment horizontal="center" vertical="center"/>
    </xf>
    <xf numFmtId="184" fontId="7" fillId="2" borderId="2" xfId="0" applyNumberFormat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center" vertical="center" wrapText="1"/>
    </xf>
    <xf numFmtId="177" fontId="3" fillId="2" borderId="2" xfId="1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shrinkToFit="1"/>
    </xf>
    <xf numFmtId="182" fontId="3" fillId="0" borderId="1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82" fontId="1" fillId="0" borderId="2" xfId="0" applyFon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49" fontId="5" fillId="3" borderId="2" xfId="6" applyNumberFormat="1" applyFont="1" applyFill="1" applyBorder="1" applyAlignment="1">
      <alignment horizontal="center" vertical="center" wrapText="1" shrinkToFit="1"/>
    </xf>
    <xf numFmtId="182" fontId="1" fillId="3" borderId="2" xfId="0" applyFont="1" applyFill="1" applyBorder="1" applyAlignment="1">
      <alignment horizontal="center" vertical="center" shrinkToFit="1"/>
    </xf>
    <xf numFmtId="182" fontId="3" fillId="3" borderId="2" xfId="0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 shrinkToFit="1"/>
    </xf>
    <xf numFmtId="181" fontId="8" fillId="3" borderId="2" xfId="4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 shrinkToFit="1"/>
    </xf>
    <xf numFmtId="178" fontId="1" fillId="3" borderId="8" xfId="0" applyNumberFormat="1" applyFont="1" applyFill="1" applyBorder="1" applyAlignment="1">
      <alignment horizontal="center" vertical="center" shrinkToFit="1"/>
    </xf>
    <xf numFmtId="176" fontId="1" fillId="3" borderId="2" xfId="0" applyNumberFormat="1" applyFont="1" applyFill="1" applyBorder="1" applyAlignment="1">
      <alignment horizontal="center" vertical="center" shrinkToFit="1"/>
    </xf>
    <xf numFmtId="176" fontId="1" fillId="3" borderId="4" xfId="0" applyNumberFormat="1" applyFont="1" applyFill="1" applyBorder="1" applyAlignment="1">
      <alignment horizontal="center" vertical="center"/>
    </xf>
    <xf numFmtId="182" fontId="1" fillId="3" borderId="0" xfId="0" applyFont="1" applyFill="1" applyAlignment="1">
      <alignment horizontal="center" vertical="center"/>
    </xf>
    <xf numFmtId="181" fontId="1" fillId="3" borderId="2" xfId="0" applyNumberFormat="1" applyFont="1" applyFill="1" applyBorder="1" applyAlignment="1">
      <alignment horizontal="center" vertical="center" wrapText="1"/>
    </xf>
    <xf numFmtId="181" fontId="13" fillId="3" borderId="2" xfId="4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center" vertical="center" shrinkToFit="1"/>
    </xf>
    <xf numFmtId="179" fontId="5" fillId="3" borderId="2" xfId="2" applyNumberFormat="1" applyFont="1" applyFill="1" applyBorder="1" applyAlignment="1">
      <alignment horizontal="center" vertical="center" shrinkToFit="1"/>
    </xf>
    <xf numFmtId="179" fontId="5" fillId="3" borderId="7" xfId="2" applyNumberFormat="1" applyFont="1" applyFill="1" applyBorder="1" applyAlignment="1">
      <alignment horizontal="center" vertical="center" shrinkToFit="1"/>
    </xf>
    <xf numFmtId="180" fontId="5" fillId="3" borderId="2" xfId="3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3" fontId="5" fillId="3" borderId="2" xfId="2" applyNumberFormat="1" applyFont="1" applyFill="1" applyBorder="1" applyAlignment="1">
      <alignment horizontal="center" vertical="center" shrinkToFit="1"/>
    </xf>
    <xf numFmtId="176" fontId="5" fillId="0" borderId="2" xfId="5" applyNumberFormat="1" applyFont="1" applyFill="1" applyBorder="1" applyAlignment="1">
      <alignment horizontal="center" vertical="center" shrinkToFit="1"/>
    </xf>
    <xf numFmtId="185" fontId="1" fillId="0" borderId="2" xfId="0" applyNumberFormat="1" applyFont="1" applyFill="1" applyBorder="1" applyAlignment="1">
      <alignment horizontal="center" vertical="center" shrinkToFit="1"/>
    </xf>
    <xf numFmtId="185" fontId="1" fillId="2" borderId="2" xfId="0" applyNumberFormat="1" applyFont="1" applyFill="1" applyBorder="1" applyAlignment="1">
      <alignment horizontal="center" vertical="center" shrinkToFit="1"/>
    </xf>
    <xf numFmtId="176" fontId="14" fillId="3" borderId="2" xfId="0" applyNumberFormat="1" applyFont="1" applyFill="1" applyBorder="1" applyAlignment="1">
      <alignment horizontal="center"/>
    </xf>
    <xf numFmtId="182" fontId="14" fillId="3" borderId="2" xfId="0" applyFont="1" applyFill="1" applyBorder="1" applyAlignment="1">
      <alignment horizontal="center"/>
    </xf>
    <xf numFmtId="177" fontId="1" fillId="3" borderId="2" xfId="7" applyNumberFormat="1" applyFont="1" applyFill="1" applyBorder="1" applyAlignment="1">
      <alignment horizontal="center" vertical="center" shrinkToFit="1"/>
    </xf>
    <xf numFmtId="182" fontId="0" fillId="3" borderId="2" xfId="0" applyFont="1" applyFill="1" applyBorder="1"/>
    <xf numFmtId="176" fontId="14" fillId="3" borderId="7" xfId="0" applyNumberFormat="1" applyFont="1" applyFill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 shrinkToFit="1"/>
    </xf>
    <xf numFmtId="176" fontId="10" fillId="3" borderId="2" xfId="0" applyNumberFormat="1" applyFont="1" applyFill="1" applyBorder="1" applyAlignment="1">
      <alignment horizontal="center"/>
    </xf>
    <xf numFmtId="176" fontId="12" fillId="0" borderId="0" xfId="0" applyNumberFormat="1" applyFont="1" applyFill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 wrapText="1"/>
    </xf>
    <xf numFmtId="176" fontId="15" fillId="2" borderId="1" xfId="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 shrinkToFit="1"/>
    </xf>
    <xf numFmtId="176" fontId="12" fillId="3" borderId="2" xfId="0" applyNumberFormat="1" applyFont="1" applyFill="1" applyBorder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176" fontId="12" fillId="0" borderId="6" xfId="0" applyNumberFormat="1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182" fontId="16" fillId="2" borderId="0" xfId="0" applyFont="1" applyFill="1"/>
    <xf numFmtId="182" fontId="16" fillId="3" borderId="2" xfId="0" applyFont="1" applyFill="1" applyBorder="1" applyAlignment="1">
      <alignment horizontal="center"/>
    </xf>
    <xf numFmtId="182" fontId="16" fillId="3" borderId="2" xfId="0" applyFont="1" applyFill="1" applyBorder="1"/>
    <xf numFmtId="182" fontId="16" fillId="3" borderId="0" xfId="0" applyFont="1" applyFill="1"/>
    <xf numFmtId="182" fontId="16" fillId="3" borderId="2" xfId="0" applyFont="1" applyFill="1" applyBorder="1" applyAlignment="1">
      <alignment horizontal="center" vertical="center"/>
    </xf>
    <xf numFmtId="186" fontId="16" fillId="3" borderId="2" xfId="0" applyNumberFormat="1" applyFont="1" applyFill="1" applyBorder="1" applyAlignment="1">
      <alignment horizontal="center" vertical="center"/>
    </xf>
    <xf numFmtId="176" fontId="5" fillId="3" borderId="2" xfId="5" applyNumberFormat="1" applyFont="1" applyFill="1" applyBorder="1" applyAlignment="1">
      <alignment horizontal="center" vertical="center" wrapText="1" shrinkToFit="1"/>
    </xf>
    <xf numFmtId="176" fontId="5" fillId="3" borderId="2" xfId="8" applyNumberFormat="1" applyFont="1" applyFill="1" applyBorder="1" applyAlignment="1">
      <alignment horizontal="center" vertical="center" shrinkToFit="1"/>
    </xf>
    <xf numFmtId="176" fontId="5" fillId="3" borderId="2" xfId="6" applyNumberFormat="1" applyFont="1" applyFill="1" applyBorder="1" applyAlignment="1">
      <alignment horizontal="center" vertical="center" shrinkToFit="1"/>
    </xf>
    <xf numFmtId="182" fontId="5" fillId="3" borderId="2" xfId="0" applyNumberFormat="1" applyFont="1" applyFill="1" applyBorder="1" applyAlignment="1">
      <alignment horizontal="center" vertical="center" wrapText="1" shrinkToFit="1"/>
    </xf>
    <xf numFmtId="177" fontId="5" fillId="3" borderId="2" xfId="6" applyNumberFormat="1" applyFont="1" applyFill="1" applyBorder="1" applyAlignment="1">
      <alignment horizontal="center" vertical="center" wrapText="1" shrinkToFit="1"/>
    </xf>
    <xf numFmtId="176" fontId="1" fillId="3" borderId="7" xfId="0" applyNumberFormat="1" applyFont="1" applyFill="1" applyBorder="1" applyAlignment="1">
      <alignment horizontal="center" vertical="center" shrinkToFit="1"/>
    </xf>
    <xf numFmtId="176" fontId="0" fillId="3" borderId="2" xfId="0" applyNumberFormat="1" applyFont="1" applyFill="1" applyBorder="1" applyAlignment="1">
      <alignment horizontal="center"/>
    </xf>
    <xf numFmtId="177" fontId="17" fillId="3" borderId="2" xfId="7" applyNumberFormat="1" applyFont="1" applyFill="1" applyBorder="1" applyAlignment="1">
      <alignment horizontal="center" vertical="center" shrinkToFit="1"/>
    </xf>
    <xf numFmtId="182" fontId="0" fillId="2" borderId="0" xfId="0" applyFont="1" applyFill="1"/>
    <xf numFmtId="182" fontId="0" fillId="2" borderId="0" xfId="0" applyFont="1" applyFill="1" applyAlignment="1">
      <alignment horizontal="center"/>
    </xf>
    <xf numFmtId="182" fontId="4" fillId="0" borderId="0" xfId="0" applyFont="1" applyAlignment="1">
      <alignment horizontal="center" vertical="center"/>
    </xf>
    <xf numFmtId="182" fontId="4" fillId="2" borderId="2" xfId="0" applyFont="1" applyFill="1" applyBorder="1" applyAlignment="1">
      <alignment horizontal="center" vertical="center"/>
    </xf>
    <xf numFmtId="182" fontId="4" fillId="2" borderId="2" xfId="0" applyFont="1" applyFill="1" applyBorder="1"/>
    <xf numFmtId="182" fontId="4" fillId="3" borderId="2" xfId="0" applyFont="1" applyFill="1" applyBorder="1"/>
    <xf numFmtId="182" fontId="10" fillId="3" borderId="2" xfId="0" applyFont="1" applyFill="1" applyBorder="1"/>
    <xf numFmtId="182" fontId="10" fillId="3" borderId="2" xfId="0" applyFont="1" applyFill="1" applyBorder="1" applyAlignment="1">
      <alignment horizontal="center"/>
    </xf>
    <xf numFmtId="182" fontId="4" fillId="2" borderId="0" xfId="0" applyFont="1" applyFill="1"/>
    <xf numFmtId="182" fontId="4" fillId="3" borderId="2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 shrinkToFit="1"/>
    </xf>
    <xf numFmtId="176" fontId="1" fillId="4" borderId="2" xfId="0" applyNumberFormat="1" applyFont="1" applyFill="1" applyBorder="1" applyAlignment="1">
      <alignment horizontal="center" vertical="center"/>
    </xf>
    <xf numFmtId="182" fontId="16" fillId="2" borderId="2" xfId="0" applyFont="1" applyFill="1" applyBorder="1"/>
    <xf numFmtId="180" fontId="5" fillId="2" borderId="2" xfId="6" applyNumberFormat="1" applyFont="1" applyFill="1" applyBorder="1" applyAlignment="1">
      <alignment horizontal="center" vertical="center" shrinkToFit="1"/>
    </xf>
    <xf numFmtId="181" fontId="1" fillId="2" borderId="2" xfId="0" applyNumberFormat="1" applyFont="1" applyFill="1" applyBorder="1" applyAlignment="1">
      <alignment horizontal="center" vertical="center" shrinkToFit="1"/>
    </xf>
    <xf numFmtId="183" fontId="1" fillId="2" borderId="2" xfId="0" applyNumberFormat="1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vertical="center"/>
    </xf>
    <xf numFmtId="181" fontId="8" fillId="2" borderId="2" xfId="4" applyNumberFormat="1" applyFont="1" applyFill="1" applyBorder="1" applyAlignment="1">
      <alignment horizontal="center" vertical="center"/>
    </xf>
    <xf numFmtId="181" fontId="13" fillId="2" borderId="2" xfId="4" applyNumberFormat="1" applyFont="1" applyFill="1" applyBorder="1" applyAlignment="1">
      <alignment horizontal="center" vertical="center"/>
    </xf>
    <xf numFmtId="177" fontId="3" fillId="5" borderId="1" xfId="1" applyNumberFormat="1" applyFont="1" applyFill="1" applyBorder="1" applyAlignment="1">
      <alignment horizontal="center" vertical="center" wrapText="1"/>
    </xf>
    <xf numFmtId="181" fontId="8" fillId="5" borderId="2" xfId="4" applyNumberFormat="1" applyFont="1" applyFill="1" applyBorder="1" applyAlignment="1">
      <alignment horizontal="center" vertical="center"/>
    </xf>
    <xf numFmtId="181" fontId="1" fillId="5" borderId="2" xfId="0" applyNumberFormat="1" applyFont="1" applyFill="1" applyBorder="1" applyAlignment="1">
      <alignment horizontal="center" vertical="center" wrapText="1"/>
    </xf>
    <xf numFmtId="184" fontId="7" fillId="6" borderId="2" xfId="0" applyNumberFormat="1" applyFont="1" applyFill="1" applyBorder="1" applyAlignment="1">
      <alignment horizontal="center" vertical="center" shrinkToFit="1"/>
    </xf>
    <xf numFmtId="181" fontId="8" fillId="6" borderId="2" xfId="4" applyNumberFormat="1" applyFont="1" applyFill="1" applyBorder="1" applyAlignment="1">
      <alignment horizontal="center" vertical="center"/>
    </xf>
    <xf numFmtId="181" fontId="1" fillId="6" borderId="2" xfId="0" applyNumberFormat="1" applyFont="1" applyFill="1" applyBorder="1" applyAlignment="1">
      <alignment horizontal="center" vertical="center" wrapText="1"/>
    </xf>
    <xf numFmtId="176" fontId="18" fillId="3" borderId="2" xfId="0" applyNumberFormat="1" applyFont="1" applyFill="1" applyBorder="1" applyAlignment="1">
      <alignment horizontal="center" vertical="center"/>
    </xf>
    <xf numFmtId="176" fontId="19" fillId="3" borderId="2" xfId="0" applyNumberFormat="1" applyFont="1" applyFill="1" applyBorder="1" applyAlignment="1">
      <alignment horizontal="center"/>
    </xf>
    <xf numFmtId="176" fontId="20" fillId="2" borderId="2" xfId="0" applyNumberFormat="1" applyFont="1" applyFill="1" applyBorder="1" applyAlignment="1">
      <alignment horizontal="center" vertical="center"/>
    </xf>
    <xf numFmtId="182" fontId="19" fillId="3" borderId="2" xfId="0" applyFont="1" applyFill="1" applyBorder="1" applyAlignment="1">
      <alignment horizontal="center"/>
    </xf>
    <xf numFmtId="177" fontId="20" fillId="3" borderId="2" xfId="7" applyNumberFormat="1" applyFont="1" applyFill="1" applyBorder="1" applyAlignment="1">
      <alignment horizontal="center" vertical="center" shrinkToFit="1"/>
    </xf>
    <xf numFmtId="181" fontId="21" fillId="3" borderId="2" xfId="4" applyNumberFormat="1" applyFont="1" applyFill="1" applyBorder="1" applyAlignment="1">
      <alignment horizontal="center" vertical="center"/>
    </xf>
    <xf numFmtId="181" fontId="20" fillId="3" borderId="2" xfId="0" applyNumberFormat="1" applyFont="1" applyFill="1" applyBorder="1" applyAlignment="1">
      <alignment horizontal="center" vertical="center" wrapText="1"/>
    </xf>
    <xf numFmtId="181" fontId="20" fillId="6" borderId="2" xfId="0" applyNumberFormat="1" applyFont="1" applyFill="1" applyBorder="1" applyAlignment="1">
      <alignment horizontal="center" vertical="center" wrapText="1"/>
    </xf>
    <xf numFmtId="181" fontId="20" fillId="2" borderId="2" xfId="0" applyNumberFormat="1" applyFont="1" applyFill="1" applyBorder="1" applyAlignment="1">
      <alignment horizontal="center" vertical="center" wrapText="1"/>
    </xf>
    <xf numFmtId="182" fontId="22" fillId="3" borderId="2" xfId="0" applyFont="1" applyFill="1" applyBorder="1"/>
    <xf numFmtId="176" fontId="19" fillId="3" borderId="7" xfId="0" applyNumberFormat="1" applyFont="1" applyFill="1" applyBorder="1" applyAlignment="1">
      <alignment horizontal="center"/>
    </xf>
    <xf numFmtId="182" fontId="23" fillId="3" borderId="2" xfId="0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center" shrinkToFit="1"/>
    </xf>
    <xf numFmtId="182" fontId="24" fillId="3" borderId="2" xfId="0" applyFont="1" applyFill="1" applyBorder="1"/>
    <xf numFmtId="176" fontId="25" fillId="3" borderId="2" xfId="0" applyNumberFormat="1" applyFont="1" applyFill="1" applyBorder="1" applyAlignment="1">
      <alignment horizontal="center"/>
    </xf>
    <xf numFmtId="182" fontId="25" fillId="3" borderId="2" xfId="0" applyFont="1" applyFill="1" applyBorder="1"/>
    <xf numFmtId="182" fontId="23" fillId="3" borderId="0" xfId="0" applyFont="1" applyFill="1"/>
    <xf numFmtId="182" fontId="25" fillId="3" borderId="2" xfId="0" applyFont="1" applyFill="1" applyBorder="1" applyAlignment="1">
      <alignment horizontal="center"/>
    </xf>
    <xf numFmtId="176" fontId="18" fillId="2" borderId="2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 wrapText="1"/>
    </xf>
    <xf numFmtId="177" fontId="20" fillId="2" borderId="2" xfId="0" applyNumberFormat="1" applyFont="1" applyFill="1" applyBorder="1" applyAlignment="1">
      <alignment horizontal="center" vertical="center" wrapText="1"/>
    </xf>
    <xf numFmtId="181" fontId="21" fillId="0" borderId="2" xfId="4" applyNumberFormat="1" applyFont="1" applyFill="1" applyBorder="1" applyAlignment="1">
      <alignment horizontal="center" vertical="center"/>
    </xf>
    <xf numFmtId="181" fontId="21" fillId="6" borderId="2" xfId="4" applyNumberFormat="1" applyFont="1" applyFill="1" applyBorder="1" applyAlignment="1">
      <alignment horizontal="center" vertical="center"/>
    </xf>
    <xf numFmtId="177" fontId="20" fillId="2" borderId="2" xfId="0" applyNumberFormat="1" applyFont="1" applyFill="1" applyBorder="1" applyAlignment="1">
      <alignment horizontal="center" vertical="center" shrinkToFit="1"/>
    </xf>
    <xf numFmtId="182" fontId="23" fillId="2" borderId="0" xfId="0" applyFont="1" applyFill="1"/>
    <xf numFmtId="182" fontId="26" fillId="2" borderId="2" xfId="0" applyFont="1" applyFill="1" applyBorder="1"/>
    <xf numFmtId="181" fontId="27" fillId="2" borderId="2" xfId="4" applyNumberFormat="1" applyFont="1" applyFill="1" applyBorder="1" applyAlignment="1">
      <alignment horizontal="center" vertical="center" wrapText="1"/>
    </xf>
    <xf numFmtId="182" fontId="1" fillId="0" borderId="1" xfId="0" applyFont="1" applyFill="1" applyBorder="1" applyAlignment="1">
      <alignment horizontal="center" vertical="center" shrinkToFit="1"/>
    </xf>
    <xf numFmtId="182" fontId="1" fillId="0" borderId="3" xfId="0" applyFont="1" applyFill="1" applyBorder="1" applyAlignment="1">
      <alignment horizontal="center" vertical="center" shrinkToFit="1"/>
    </xf>
    <xf numFmtId="182" fontId="14" fillId="2" borderId="1" xfId="0" applyFont="1" applyFill="1" applyBorder="1" applyAlignment="1">
      <alignment horizontal="center" vertical="center"/>
    </xf>
    <xf numFmtId="182" fontId="14" fillId="2" borderId="3" xfId="0" applyFont="1" applyFill="1" applyBorder="1" applyAlignment="1">
      <alignment horizontal="center" vertical="center"/>
    </xf>
    <xf numFmtId="182" fontId="30" fillId="3" borderId="2" xfId="0" applyFont="1" applyFill="1" applyBorder="1" applyAlignment="1">
      <alignment horizontal="left" vertical="center" wrapText="1"/>
    </xf>
  </cellXfs>
  <cellStyles count="9">
    <cellStyle name="常规" xfId="0" builtinId="0"/>
    <cellStyle name="常规 2" xfId="2"/>
    <cellStyle name="一般 2" xfId="7"/>
    <cellStyle name="一般 3" xfId="1"/>
    <cellStyle name="一般 5" xfId="4"/>
    <cellStyle name="一般_0208群光出货排程 2" xfId="8"/>
    <cellStyle name="一般_0214群光出货排程 2" xfId="6"/>
    <cellStyle name="一般_Mibtech Tooling List_080627 5" xfId="5"/>
    <cellStyle name="一般_交貨排程110418 2" xfId="3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391441</xdr:colOff>
      <xdr:row>30</xdr:row>
      <xdr:rowOff>19709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3900"/>
          <a:ext cx="6563641" cy="4725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zoomScale="80" zoomScaleNormal="80" workbookViewId="0">
      <selection activeCell="O40" sqref="O40"/>
    </sheetView>
  </sheetViews>
  <sheetFormatPr defaultColWidth="9" defaultRowHeight="14.25"/>
  <cols>
    <col min="1" max="1" width="5.75" style="99" customWidth="1"/>
    <col min="2" max="2" width="14.875" style="113" customWidth="1"/>
    <col min="3" max="3" width="5.5" style="113" customWidth="1"/>
    <col min="4" max="5" width="10" style="113" customWidth="1"/>
    <col min="6" max="6" width="9.75" style="113" customWidth="1"/>
    <col min="7" max="7" width="10.625" style="113" customWidth="1"/>
    <col min="8" max="8" width="12.875" style="113" customWidth="1"/>
    <col min="9" max="9" width="23.5" style="113" customWidth="1"/>
    <col min="10" max="12" width="9" style="113" customWidth="1"/>
    <col min="13" max="13" width="8.75" style="113" customWidth="1"/>
    <col min="14" max="14" width="10" style="113" customWidth="1"/>
    <col min="15" max="15" width="11.875" style="113" customWidth="1"/>
    <col min="16" max="16" width="9" style="113" hidden="1" customWidth="1"/>
    <col min="17" max="17" width="12.625" style="114" hidden="1" customWidth="1"/>
    <col min="18" max="18" width="20.75" style="113" hidden="1" customWidth="1"/>
    <col min="19" max="19" width="16.375" style="113" customWidth="1"/>
    <col min="20" max="21" width="9" style="113" customWidth="1"/>
    <col min="22" max="22" width="18.625" style="99" customWidth="1"/>
    <col min="23" max="23" width="17" style="121" customWidth="1"/>
    <col min="24" max="24" width="14.75" style="121" customWidth="1"/>
    <col min="25" max="25" width="15.375" style="121" customWidth="1"/>
    <col min="26" max="26" width="15" style="121" hidden="1" customWidth="1"/>
    <col min="27" max="27" width="9" style="121" hidden="1" customWidth="1"/>
    <col min="28" max="28" width="12.75" style="121" customWidth="1"/>
    <col min="29" max="16384" width="9" style="99"/>
  </cols>
  <sheetData>
    <row r="1" spans="1:28" s="87" customFormat="1" ht="28.5">
      <c r="A1" s="87" t="s">
        <v>0</v>
      </c>
      <c r="B1" s="33" t="s">
        <v>1</v>
      </c>
      <c r="C1" s="34" t="s">
        <v>2</v>
      </c>
      <c r="D1" s="34" t="s">
        <v>3</v>
      </c>
      <c r="E1" s="34" t="s">
        <v>108</v>
      </c>
      <c r="F1" s="49" t="s">
        <v>109</v>
      </c>
      <c r="G1" s="34" t="s">
        <v>5</v>
      </c>
      <c r="H1" s="34" t="s">
        <v>6</v>
      </c>
      <c r="I1" s="33" t="s">
        <v>7</v>
      </c>
      <c r="J1" s="50" t="s">
        <v>230</v>
      </c>
      <c r="K1" s="3" t="s">
        <v>244</v>
      </c>
      <c r="L1" s="133" t="s">
        <v>231</v>
      </c>
      <c r="M1" s="3" t="s">
        <v>69</v>
      </c>
      <c r="N1" s="133" t="s">
        <v>227</v>
      </c>
      <c r="O1" s="133" t="s">
        <v>228</v>
      </c>
      <c r="P1" s="35" t="s">
        <v>110</v>
      </c>
      <c r="Q1" s="36" t="s">
        <v>9</v>
      </c>
      <c r="R1" s="37" t="s">
        <v>10</v>
      </c>
      <c r="S1" s="34" t="s">
        <v>11</v>
      </c>
      <c r="T1" s="34" t="s">
        <v>12</v>
      </c>
      <c r="U1" s="34" t="s">
        <v>13</v>
      </c>
      <c r="V1" s="88" t="s">
        <v>14</v>
      </c>
      <c r="W1" s="34" t="s">
        <v>15</v>
      </c>
      <c r="X1" s="34" t="s">
        <v>16</v>
      </c>
      <c r="Y1" s="34" t="s">
        <v>17</v>
      </c>
      <c r="Z1" s="2" t="s">
        <v>71</v>
      </c>
      <c r="AA1" s="38" t="s">
        <v>18</v>
      </c>
      <c r="AB1" s="22" t="s">
        <v>19</v>
      </c>
    </row>
    <row r="2" spans="1:28" s="93" customFormat="1" ht="25.15" customHeight="1">
      <c r="A2" s="91">
        <v>1</v>
      </c>
      <c r="B2" s="27" t="s">
        <v>111</v>
      </c>
      <c r="C2" s="78">
        <v>4</v>
      </c>
      <c r="D2" s="26">
        <v>250</v>
      </c>
      <c r="E2" s="78">
        <v>30</v>
      </c>
      <c r="F2" s="79">
        <v>30</v>
      </c>
      <c r="G2" s="39" t="s">
        <v>208</v>
      </c>
      <c r="H2" s="40" t="s">
        <v>113</v>
      </c>
      <c r="I2" s="41" t="s">
        <v>114</v>
      </c>
      <c r="J2" s="46">
        <f>(88.2/3600*E2/C2)*1.13</f>
        <v>0.20763749999999997</v>
      </c>
      <c r="K2" s="46"/>
      <c r="L2" s="46"/>
      <c r="M2" s="48">
        <f>360/Z2</f>
        <v>3.4090909090909088E-2</v>
      </c>
      <c r="N2" s="136">
        <f>J2+M2</f>
        <v>0.24172840909090906</v>
      </c>
      <c r="O2" s="48"/>
      <c r="P2" s="42">
        <v>8.7799999999999994</v>
      </c>
      <c r="Q2" s="42" t="s">
        <v>207</v>
      </c>
      <c r="R2" s="30" t="s">
        <v>115</v>
      </c>
      <c r="S2" s="30" t="s">
        <v>116</v>
      </c>
      <c r="T2" s="30">
        <v>2</v>
      </c>
      <c r="U2" s="30">
        <v>2</v>
      </c>
      <c r="V2" s="92" t="s">
        <v>146</v>
      </c>
      <c r="W2" s="22" t="s">
        <v>117</v>
      </c>
      <c r="X2" s="115" t="s">
        <v>118</v>
      </c>
      <c r="Y2" s="26">
        <v>40000</v>
      </c>
      <c r="Z2" s="7">
        <f t="shared" ref="Z2:Z8" si="0">(3600/E2)*C2*22</f>
        <v>10560</v>
      </c>
      <c r="AA2" s="38">
        <f t="shared" ref="AA2:AA9" si="1">Y2/Z2</f>
        <v>3.7878787878787881</v>
      </c>
      <c r="AB2" s="22" t="s">
        <v>119</v>
      </c>
    </row>
    <row r="3" spans="1:28" s="87" customFormat="1" ht="25.15" customHeight="1">
      <c r="A3" s="91">
        <v>2</v>
      </c>
      <c r="B3" s="43" t="s">
        <v>120</v>
      </c>
      <c r="C3" s="22">
        <v>2</v>
      </c>
      <c r="D3" s="22">
        <v>300</v>
      </c>
      <c r="E3" s="22">
        <v>80</v>
      </c>
      <c r="F3" s="7">
        <v>80</v>
      </c>
      <c r="G3" s="39" t="s">
        <v>121</v>
      </c>
      <c r="H3" s="26" t="s">
        <v>122</v>
      </c>
      <c r="I3" s="12" t="s">
        <v>233</v>
      </c>
      <c r="J3" s="46">
        <f>(101.4/3600*E3/C3)*1.13</f>
        <v>1.2731333333333332</v>
      </c>
      <c r="K3" s="46"/>
      <c r="L3" s="46"/>
      <c r="M3" s="22"/>
      <c r="N3" s="136">
        <f t="shared" ref="N3:N9" si="2">J3+M3</f>
        <v>1.2731333333333332</v>
      </c>
      <c r="O3" s="127"/>
      <c r="P3" s="25">
        <v>165.23</v>
      </c>
      <c r="Q3" s="25" t="s">
        <v>143</v>
      </c>
      <c r="R3" s="26" t="s">
        <v>123</v>
      </c>
      <c r="S3" s="55" t="s">
        <v>124</v>
      </c>
      <c r="T3" s="22">
        <v>1</v>
      </c>
      <c r="U3" s="22">
        <v>1</v>
      </c>
      <c r="V3" s="92" t="s">
        <v>212</v>
      </c>
      <c r="W3" s="22" t="s">
        <v>125</v>
      </c>
      <c r="X3" s="23" t="s">
        <v>126</v>
      </c>
      <c r="Y3" s="26">
        <v>40000</v>
      </c>
      <c r="Z3" s="7">
        <f t="shared" si="0"/>
        <v>1980</v>
      </c>
      <c r="AA3" s="38">
        <f t="shared" si="1"/>
        <v>20.202020202020201</v>
      </c>
      <c r="AB3" s="44" t="s">
        <v>30</v>
      </c>
    </row>
    <row r="4" spans="1:28" s="87" customFormat="1" ht="25.15" customHeight="1">
      <c r="A4" s="91">
        <v>3</v>
      </c>
      <c r="B4" s="43" t="s">
        <v>127</v>
      </c>
      <c r="C4" s="22">
        <v>2</v>
      </c>
      <c r="D4" s="22">
        <v>300</v>
      </c>
      <c r="E4" s="22">
        <v>80</v>
      </c>
      <c r="F4" s="7">
        <v>80</v>
      </c>
      <c r="G4" s="39" t="s">
        <v>121</v>
      </c>
      <c r="H4" s="26" t="s">
        <v>128</v>
      </c>
      <c r="I4" s="43" t="s">
        <v>234</v>
      </c>
      <c r="J4" s="47">
        <f>(101.4/3600*E4/C4)*1.13</f>
        <v>1.2731333333333332</v>
      </c>
      <c r="K4" s="47"/>
      <c r="L4" s="47"/>
      <c r="M4" s="43"/>
      <c r="N4" s="136">
        <f t="shared" si="2"/>
        <v>1.2731333333333332</v>
      </c>
      <c r="O4" s="127"/>
      <c r="P4" s="25">
        <v>140.59</v>
      </c>
      <c r="Q4" s="25" t="s">
        <v>143</v>
      </c>
      <c r="R4" s="26" t="s">
        <v>123</v>
      </c>
      <c r="S4" s="55" t="s">
        <v>129</v>
      </c>
      <c r="T4" s="22">
        <v>1</v>
      </c>
      <c r="U4" s="22">
        <v>1</v>
      </c>
      <c r="V4" s="92" t="s">
        <v>235</v>
      </c>
      <c r="W4" s="22" t="s">
        <v>125</v>
      </c>
      <c r="X4" s="23" t="s">
        <v>130</v>
      </c>
      <c r="Y4" s="26">
        <v>40000</v>
      </c>
      <c r="Z4" s="7">
        <f t="shared" si="0"/>
        <v>1980</v>
      </c>
      <c r="AA4" s="38">
        <f t="shared" si="1"/>
        <v>20.202020202020201</v>
      </c>
      <c r="AB4" s="44" t="s">
        <v>30</v>
      </c>
    </row>
    <row r="5" spans="1:28" s="87" customFormat="1" ht="25.15" customHeight="1">
      <c r="A5" s="91">
        <v>4</v>
      </c>
      <c r="B5" s="43" t="s">
        <v>131</v>
      </c>
      <c r="C5" s="22">
        <v>2</v>
      </c>
      <c r="D5" s="22">
        <v>300</v>
      </c>
      <c r="E5" s="22">
        <v>80</v>
      </c>
      <c r="F5" s="7">
        <v>80</v>
      </c>
      <c r="G5" s="39" t="s">
        <v>121</v>
      </c>
      <c r="H5" s="26" t="s">
        <v>132</v>
      </c>
      <c r="I5" s="43" t="s">
        <v>236</v>
      </c>
      <c r="J5" s="46">
        <f>(101.4/3600*E5/C5)*1.13</f>
        <v>1.2731333333333332</v>
      </c>
      <c r="K5" s="46"/>
      <c r="L5" s="46"/>
      <c r="M5" s="43"/>
      <c r="N5" s="136">
        <f t="shared" si="2"/>
        <v>1.2731333333333332</v>
      </c>
      <c r="O5" s="127"/>
      <c r="P5" s="25">
        <v>146.52000000000001</v>
      </c>
      <c r="Q5" s="36" t="s">
        <v>142</v>
      </c>
      <c r="R5" s="26" t="s">
        <v>123</v>
      </c>
      <c r="S5" s="55" t="s">
        <v>133</v>
      </c>
      <c r="T5" s="22">
        <v>1</v>
      </c>
      <c r="U5" s="22">
        <v>1</v>
      </c>
      <c r="V5" s="92" t="s">
        <v>210</v>
      </c>
      <c r="W5" s="22" t="s">
        <v>125</v>
      </c>
      <c r="X5" s="23" t="s">
        <v>134</v>
      </c>
      <c r="Y5" s="26">
        <v>40000</v>
      </c>
      <c r="Z5" s="7">
        <f t="shared" si="0"/>
        <v>1980</v>
      </c>
      <c r="AA5" s="38">
        <f t="shared" si="1"/>
        <v>20.202020202020201</v>
      </c>
      <c r="AB5" s="44" t="s">
        <v>30</v>
      </c>
    </row>
    <row r="6" spans="1:28" s="87" customFormat="1" ht="25.15" customHeight="1">
      <c r="A6" s="91">
        <v>5</v>
      </c>
      <c r="B6" s="43" t="s">
        <v>135</v>
      </c>
      <c r="C6" s="22">
        <v>4</v>
      </c>
      <c r="D6" s="22">
        <v>230</v>
      </c>
      <c r="E6" s="22">
        <v>29</v>
      </c>
      <c r="F6" s="22">
        <v>29</v>
      </c>
      <c r="G6" s="29" t="s">
        <v>136</v>
      </c>
      <c r="H6" s="23" t="s">
        <v>28</v>
      </c>
      <c r="I6" s="43" t="s">
        <v>137</v>
      </c>
      <c r="J6" s="46">
        <f>(88.2/3600*E6/C6)*1.13</f>
        <v>0.20071624999999998</v>
      </c>
      <c r="K6" s="46"/>
      <c r="L6" s="46"/>
      <c r="M6" s="47">
        <f>(360/Z6)*2</f>
        <v>6.5909090909090903E-2</v>
      </c>
      <c r="N6" s="48">
        <f t="shared" si="2"/>
        <v>0.2666253409090909</v>
      </c>
      <c r="O6" s="128"/>
      <c r="P6" s="25">
        <v>19.18</v>
      </c>
      <c r="Q6" s="25"/>
      <c r="R6" s="26" t="s">
        <v>138</v>
      </c>
      <c r="S6" s="22" t="s">
        <v>139</v>
      </c>
      <c r="T6" s="22">
        <v>2</v>
      </c>
      <c r="U6" s="22">
        <v>3</v>
      </c>
      <c r="V6" s="87" t="s">
        <v>219</v>
      </c>
      <c r="W6" s="45" t="s">
        <v>140</v>
      </c>
      <c r="X6" s="29" t="s">
        <v>46</v>
      </c>
      <c r="Y6" s="22">
        <v>175000</v>
      </c>
      <c r="Z6" s="7">
        <f t="shared" si="0"/>
        <v>10924.137931034484</v>
      </c>
      <c r="AA6" s="38">
        <f t="shared" si="1"/>
        <v>16.019570707070706</v>
      </c>
      <c r="AB6" s="22" t="s">
        <v>141</v>
      </c>
    </row>
    <row r="7" spans="1:28" s="95" customFormat="1" ht="20.45" customHeight="1">
      <c r="A7" s="94">
        <v>5</v>
      </c>
      <c r="B7" s="70">
        <v>4028</v>
      </c>
      <c r="C7" s="71">
        <v>2</v>
      </c>
      <c r="D7" s="72">
        <v>200</v>
      </c>
      <c r="E7" s="73">
        <v>38</v>
      </c>
      <c r="F7" s="73"/>
      <c r="G7" s="74" t="s">
        <v>112</v>
      </c>
      <c r="H7" s="75" t="s">
        <v>148</v>
      </c>
      <c r="I7" s="75" t="s">
        <v>149</v>
      </c>
      <c r="J7" s="62">
        <f>(72.8/3600*E7/C7)*1.13</f>
        <v>0.43417111111111101</v>
      </c>
      <c r="K7" s="62"/>
      <c r="L7" s="62"/>
      <c r="M7" s="68">
        <f>360/Z7</f>
        <v>8.6363636363636365E-2</v>
      </c>
      <c r="N7" s="48">
        <f t="shared" si="2"/>
        <v>0.52053474747474737</v>
      </c>
      <c r="O7" s="129"/>
      <c r="P7" s="63">
        <v>62.55</v>
      </c>
      <c r="Q7" s="64"/>
      <c r="R7" s="65" t="s">
        <v>115</v>
      </c>
      <c r="S7" s="59" t="s">
        <v>147</v>
      </c>
      <c r="T7" s="57">
        <v>1</v>
      </c>
      <c r="U7" s="57">
        <v>2</v>
      </c>
      <c r="V7" s="94" t="s">
        <v>219</v>
      </c>
      <c r="W7" s="57" t="s">
        <v>150</v>
      </c>
      <c r="X7" s="57" t="s">
        <v>151</v>
      </c>
      <c r="Y7" s="65">
        <v>40000</v>
      </c>
      <c r="Z7" s="7">
        <f t="shared" si="0"/>
        <v>4168.4210526315792</v>
      </c>
      <c r="AA7" s="38">
        <f t="shared" si="1"/>
        <v>9.5959595959595951</v>
      </c>
      <c r="AB7" s="57" t="s">
        <v>152</v>
      </c>
    </row>
    <row r="8" spans="1:28" s="95" customFormat="1" ht="20.45" customHeight="1">
      <c r="A8" s="94">
        <v>6</v>
      </c>
      <c r="B8" s="70">
        <v>4031</v>
      </c>
      <c r="C8" s="76">
        <v>2</v>
      </c>
      <c r="D8" s="72">
        <v>200</v>
      </c>
      <c r="E8" s="72">
        <v>38</v>
      </c>
      <c r="F8" s="72"/>
      <c r="G8" s="74" t="s">
        <v>153</v>
      </c>
      <c r="H8" s="75" t="s">
        <v>154</v>
      </c>
      <c r="I8" s="75" t="s">
        <v>155</v>
      </c>
      <c r="J8" s="62">
        <f>(72.8/3600*E8/C8)*1.13</f>
        <v>0.43417111111111101</v>
      </c>
      <c r="K8" s="62"/>
      <c r="L8" s="62"/>
      <c r="M8" s="68"/>
      <c r="N8" s="48">
        <f t="shared" si="2"/>
        <v>0.43417111111111101</v>
      </c>
      <c r="O8" s="129"/>
      <c r="P8" s="63">
        <v>60.42</v>
      </c>
      <c r="Q8" s="64"/>
      <c r="R8" s="65" t="s">
        <v>156</v>
      </c>
      <c r="S8" s="59" t="s">
        <v>157</v>
      </c>
      <c r="T8" s="57">
        <v>1</v>
      </c>
      <c r="U8" s="57">
        <v>1</v>
      </c>
      <c r="V8" s="94" t="s">
        <v>219</v>
      </c>
      <c r="W8" s="57" t="s">
        <v>150</v>
      </c>
      <c r="X8" s="57" t="s">
        <v>158</v>
      </c>
      <c r="Y8" s="65">
        <v>40000</v>
      </c>
      <c r="Z8" s="7">
        <f t="shared" si="0"/>
        <v>4168.4210526315792</v>
      </c>
      <c r="AA8" s="38">
        <f t="shared" si="1"/>
        <v>9.5959595959595951</v>
      </c>
      <c r="AB8" s="66" t="s">
        <v>152</v>
      </c>
    </row>
    <row r="9" spans="1:28" s="95" customFormat="1" ht="20.45" customHeight="1">
      <c r="A9" s="94">
        <v>7</v>
      </c>
      <c r="B9" s="70">
        <v>4025</v>
      </c>
      <c r="C9" s="57" t="s">
        <v>159</v>
      </c>
      <c r="D9" s="57">
        <v>150</v>
      </c>
      <c r="E9" s="57">
        <v>37</v>
      </c>
      <c r="F9" s="57"/>
      <c r="G9" s="74" t="s">
        <v>112</v>
      </c>
      <c r="H9" s="65" t="s">
        <v>160</v>
      </c>
      <c r="I9" s="75" t="s">
        <v>161</v>
      </c>
      <c r="J9" s="62">
        <f>((68.4/3600*E9/2)*1.13)/2</f>
        <v>0.19859750000000001</v>
      </c>
      <c r="K9" s="62"/>
      <c r="L9" s="62"/>
      <c r="M9" s="68">
        <f>360/Z9</f>
        <v>8.4090909090909091E-2</v>
      </c>
      <c r="N9" s="48">
        <f t="shared" si="2"/>
        <v>0.28268840909090909</v>
      </c>
      <c r="O9" s="129"/>
      <c r="P9" s="63">
        <v>27.5</v>
      </c>
      <c r="Q9" s="64"/>
      <c r="R9" s="65" t="s">
        <v>123</v>
      </c>
      <c r="S9" s="67" t="s">
        <v>162</v>
      </c>
      <c r="T9" s="57">
        <v>1</v>
      </c>
      <c r="U9" s="57">
        <v>2</v>
      </c>
      <c r="V9" s="94" t="s">
        <v>219</v>
      </c>
      <c r="W9" s="57" t="s">
        <v>163</v>
      </c>
      <c r="X9" s="57" t="s">
        <v>164</v>
      </c>
      <c r="Y9" s="65">
        <v>40000</v>
      </c>
      <c r="Z9" s="7">
        <f>(3600/E9)*2*22</f>
        <v>4281.0810810810808</v>
      </c>
      <c r="AA9" s="38">
        <f t="shared" si="1"/>
        <v>9.3434343434343443</v>
      </c>
      <c r="AB9" s="66" t="s">
        <v>165</v>
      </c>
    </row>
    <row r="10" spans="1:28" s="87" customFormat="1" ht="4.1500000000000004" customHeight="1">
      <c r="A10" s="96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130"/>
      <c r="O10" s="130"/>
      <c r="P10" s="53"/>
      <c r="Q10" s="56"/>
      <c r="R10" s="54"/>
      <c r="S10" s="38"/>
      <c r="T10" s="38"/>
      <c r="U10" s="38"/>
      <c r="V10" s="90"/>
      <c r="W10" s="52"/>
      <c r="X10" s="51"/>
      <c r="Y10" s="38"/>
      <c r="Z10" s="6"/>
      <c r="AA10" s="38"/>
      <c r="AB10" s="22"/>
    </row>
    <row r="11" spans="1:28" ht="31.9" customHeight="1">
      <c r="A11" s="98" t="s">
        <v>0</v>
      </c>
      <c r="B11" s="1" t="s">
        <v>1</v>
      </c>
      <c r="C11" s="2" t="s">
        <v>2</v>
      </c>
      <c r="D11" s="2" t="s">
        <v>3</v>
      </c>
      <c r="E11" s="2" t="s">
        <v>4</v>
      </c>
      <c r="F11" s="2"/>
      <c r="G11" s="2" t="s">
        <v>5</v>
      </c>
      <c r="H11" s="2" t="s">
        <v>6</v>
      </c>
      <c r="I11" s="3" t="s">
        <v>7</v>
      </c>
      <c r="J11" s="3" t="s">
        <v>68</v>
      </c>
      <c r="K11" s="3"/>
      <c r="L11" s="3"/>
      <c r="M11" s="3" t="s">
        <v>69</v>
      </c>
      <c r="N11" s="3" t="s">
        <v>70</v>
      </c>
      <c r="O11" s="3"/>
      <c r="P11" s="4" t="s">
        <v>8</v>
      </c>
      <c r="Q11" s="4" t="s">
        <v>9</v>
      </c>
      <c r="R11" s="5" t="s">
        <v>10</v>
      </c>
      <c r="S11" s="2" t="s">
        <v>11</v>
      </c>
      <c r="T11" s="2" t="s">
        <v>12</v>
      </c>
      <c r="U11" s="2" t="s">
        <v>13</v>
      </c>
      <c r="V11" s="89" t="s">
        <v>14</v>
      </c>
      <c r="W11" s="2" t="s">
        <v>15</v>
      </c>
      <c r="X11" s="2" t="s">
        <v>16</v>
      </c>
      <c r="Y11" s="2" t="s">
        <v>17</v>
      </c>
      <c r="Z11" s="2" t="s">
        <v>71</v>
      </c>
      <c r="AA11" s="6" t="s">
        <v>18</v>
      </c>
      <c r="AB11" s="7" t="s">
        <v>19</v>
      </c>
    </row>
    <row r="12" spans="1:28" ht="25.15" customHeight="1">
      <c r="A12" s="92">
        <v>1</v>
      </c>
      <c r="B12" s="8" t="s">
        <v>72</v>
      </c>
      <c r="C12" s="9">
        <v>1</v>
      </c>
      <c r="D12" s="10">
        <v>450</v>
      </c>
      <c r="E12" s="10">
        <v>85</v>
      </c>
      <c r="F12" s="10"/>
      <c r="G12" s="11" t="s">
        <v>20</v>
      </c>
      <c r="H12" s="12" t="s">
        <v>21</v>
      </c>
      <c r="I12" s="12" t="s">
        <v>237</v>
      </c>
      <c r="J12" s="13">
        <f>(154.4/3600*E12/C12)*1.13</f>
        <v>4.119477777777778</v>
      </c>
      <c r="K12" s="13"/>
      <c r="L12" s="13"/>
      <c r="M12" s="13"/>
      <c r="N12" s="131">
        <f>J12+M12</f>
        <v>4.119477777777778</v>
      </c>
      <c r="O12" s="131"/>
      <c r="P12" s="14">
        <v>427.75</v>
      </c>
      <c r="Q12" s="14">
        <v>0</v>
      </c>
      <c r="R12" s="15" t="s">
        <v>22</v>
      </c>
      <c r="S12" s="16" t="s">
        <v>73</v>
      </c>
      <c r="T12" s="7">
        <v>1</v>
      </c>
      <c r="U12" s="7">
        <v>1</v>
      </c>
      <c r="V12" s="92" t="s">
        <v>220</v>
      </c>
      <c r="W12" s="17" t="s">
        <v>74</v>
      </c>
      <c r="X12" s="116" t="s">
        <v>75</v>
      </c>
      <c r="Y12" s="15">
        <v>34000</v>
      </c>
      <c r="Z12" s="7">
        <f t="shared" ref="Z12:Z22" si="3">(3600/E12)*C12*22</f>
        <v>931.76470588235293</v>
      </c>
      <c r="AA12" s="15">
        <f t="shared" ref="AA12:AA35" si="4">Y12/Z12</f>
        <v>36.48989898989899</v>
      </c>
      <c r="AB12" s="7"/>
    </row>
    <row r="13" spans="1:28" ht="25.15" customHeight="1">
      <c r="A13" s="92">
        <v>2</v>
      </c>
      <c r="B13" s="8" t="s">
        <v>76</v>
      </c>
      <c r="C13" s="9">
        <v>1</v>
      </c>
      <c r="D13" s="10">
        <v>450</v>
      </c>
      <c r="E13" s="10">
        <v>80</v>
      </c>
      <c r="F13" s="10"/>
      <c r="G13" s="11" t="s">
        <v>77</v>
      </c>
      <c r="H13" s="12" t="s">
        <v>78</v>
      </c>
      <c r="I13" s="12" t="s">
        <v>79</v>
      </c>
      <c r="J13" s="13">
        <f>(154.4/3600*E13/C13)*1.13</f>
        <v>3.8771555555555555</v>
      </c>
      <c r="K13" s="13"/>
      <c r="L13" s="13"/>
      <c r="M13" s="13"/>
      <c r="N13" s="137">
        <f t="shared" ref="N13:N22" si="5">J13+M13</f>
        <v>3.8771555555555555</v>
      </c>
      <c r="O13" s="131"/>
      <c r="P13" s="14">
        <v>292.10000000000002</v>
      </c>
      <c r="Q13" s="14">
        <v>9.1</v>
      </c>
      <c r="R13" s="15" t="s">
        <v>80</v>
      </c>
      <c r="S13" s="16" t="s">
        <v>81</v>
      </c>
      <c r="T13" s="7">
        <v>1</v>
      </c>
      <c r="U13" s="7">
        <v>1</v>
      </c>
      <c r="V13" s="92" t="s">
        <v>232</v>
      </c>
      <c r="W13" s="17" t="s">
        <v>82</v>
      </c>
      <c r="X13" s="18"/>
      <c r="Y13" s="15">
        <v>34000</v>
      </c>
      <c r="Z13" s="7">
        <f t="shared" si="3"/>
        <v>990</v>
      </c>
      <c r="AA13" s="15">
        <f t="shared" si="4"/>
        <v>34.343434343434346</v>
      </c>
      <c r="AB13" s="7"/>
    </row>
    <row r="14" spans="1:28" ht="27.75" customHeight="1">
      <c r="A14" s="92">
        <v>3</v>
      </c>
      <c r="B14" s="8">
        <v>2556</v>
      </c>
      <c r="C14" s="7">
        <v>4</v>
      </c>
      <c r="D14" s="7">
        <v>50</v>
      </c>
      <c r="E14" s="7">
        <v>20</v>
      </c>
      <c r="F14" s="7"/>
      <c r="G14" s="7" t="s">
        <v>23</v>
      </c>
      <c r="H14" s="19" t="s">
        <v>24</v>
      </c>
      <c r="I14" s="20" t="s">
        <v>83</v>
      </c>
      <c r="J14" s="13">
        <f>(50.7/3600*E14/C14)*1.13</f>
        <v>7.9570833333333327E-2</v>
      </c>
      <c r="K14" s="13"/>
      <c r="L14" s="13"/>
      <c r="M14" s="13"/>
      <c r="N14" s="137">
        <f t="shared" si="5"/>
        <v>7.9570833333333327E-2</v>
      </c>
      <c r="O14" s="131"/>
      <c r="P14" s="14">
        <v>0.1</v>
      </c>
      <c r="Q14" s="14">
        <v>0.27</v>
      </c>
      <c r="R14" s="15" t="s">
        <v>144</v>
      </c>
      <c r="S14" s="7" t="s">
        <v>25</v>
      </c>
      <c r="T14" s="7">
        <v>1</v>
      </c>
      <c r="U14" s="7">
        <v>1</v>
      </c>
      <c r="V14" s="92" t="s">
        <v>84</v>
      </c>
      <c r="W14" s="17" t="s">
        <v>82</v>
      </c>
      <c r="X14" s="7"/>
      <c r="Y14" s="7">
        <v>70000</v>
      </c>
      <c r="Z14" s="7">
        <f t="shared" si="3"/>
        <v>15840</v>
      </c>
      <c r="AA14" s="15">
        <f t="shared" si="4"/>
        <v>4.4191919191919196</v>
      </c>
      <c r="AB14" s="7"/>
    </row>
    <row r="15" spans="1:28" s="164" customFormat="1" ht="30" hidden="1" customHeight="1">
      <c r="A15" s="157">
        <v>4</v>
      </c>
      <c r="B15" s="158">
        <v>2557</v>
      </c>
      <c r="C15" s="141">
        <v>4</v>
      </c>
      <c r="D15" s="141">
        <v>50</v>
      </c>
      <c r="E15" s="141">
        <v>24</v>
      </c>
      <c r="F15" s="141"/>
      <c r="G15" s="141" t="s">
        <v>23</v>
      </c>
      <c r="H15" s="159" t="s">
        <v>26</v>
      </c>
      <c r="I15" s="160" t="s">
        <v>85</v>
      </c>
      <c r="J15" s="161">
        <f>(50.7/3600*E15/C15)*1.13</f>
        <v>9.5485E-2</v>
      </c>
      <c r="K15" s="161"/>
      <c r="L15" s="161"/>
      <c r="M15" s="161"/>
      <c r="N15" s="162">
        <f>J15+M15</f>
        <v>9.5485E-2</v>
      </c>
      <c r="O15" s="166" t="s">
        <v>239</v>
      </c>
      <c r="P15" s="14">
        <v>0.4</v>
      </c>
      <c r="Q15" s="14">
        <v>0.6</v>
      </c>
      <c r="R15" s="15" t="s">
        <v>144</v>
      </c>
      <c r="S15" s="141" t="s">
        <v>27</v>
      </c>
      <c r="T15" s="141">
        <v>1</v>
      </c>
      <c r="U15" s="141">
        <v>1</v>
      </c>
      <c r="V15" s="157" t="s">
        <v>84</v>
      </c>
      <c r="W15" s="163" t="s">
        <v>82</v>
      </c>
      <c r="X15" s="141"/>
      <c r="Y15" s="141">
        <v>70000</v>
      </c>
      <c r="Z15" s="7">
        <f t="shared" si="3"/>
        <v>13200</v>
      </c>
      <c r="AA15" s="15">
        <f t="shared" si="4"/>
        <v>5.3030303030303028</v>
      </c>
      <c r="AB15" s="141"/>
    </row>
    <row r="16" spans="1:28" ht="25.15" customHeight="1">
      <c r="A16" s="92">
        <v>5</v>
      </c>
      <c r="B16" s="21">
        <v>3056</v>
      </c>
      <c r="C16" s="22">
        <v>4</v>
      </c>
      <c r="D16" s="22">
        <v>200</v>
      </c>
      <c r="E16" s="22">
        <v>26</v>
      </c>
      <c r="F16" s="124">
        <v>30</v>
      </c>
      <c r="G16" s="22" t="s">
        <v>86</v>
      </c>
      <c r="H16" s="23" t="s">
        <v>28</v>
      </c>
      <c r="I16" s="24" t="s">
        <v>238</v>
      </c>
      <c r="J16" s="13">
        <f>(67.6/3600*E16/C16)*1.13</f>
        <v>0.13792277777777776</v>
      </c>
      <c r="K16" s="13"/>
      <c r="L16" s="13">
        <f>(67.6/3600*F16/C16)*1.13</f>
        <v>0.15914166666666663</v>
      </c>
      <c r="M16" s="13">
        <f>360/Z16</f>
        <v>2.9545454545454548E-2</v>
      </c>
      <c r="N16" s="131">
        <f t="shared" si="5"/>
        <v>0.1674682323232323</v>
      </c>
      <c r="O16" s="134">
        <f>L16+M16</f>
        <v>0.18868712121212117</v>
      </c>
      <c r="P16" s="25">
        <v>20.16</v>
      </c>
      <c r="Q16" s="25">
        <v>4.1500000000000004</v>
      </c>
      <c r="R16" s="15" t="s">
        <v>145</v>
      </c>
      <c r="S16" s="22" t="s">
        <v>87</v>
      </c>
      <c r="T16" s="22">
        <v>2</v>
      </c>
      <c r="U16" s="22">
        <v>2</v>
      </c>
      <c r="V16" s="92" t="s">
        <v>216</v>
      </c>
      <c r="W16" s="17" t="s">
        <v>82</v>
      </c>
      <c r="X16" s="22" t="s">
        <v>29</v>
      </c>
      <c r="Y16" s="22">
        <v>80000</v>
      </c>
      <c r="Z16" s="7">
        <f t="shared" si="3"/>
        <v>12184.615384615383</v>
      </c>
      <c r="AA16" s="15">
        <f t="shared" si="4"/>
        <v>6.5656565656565666</v>
      </c>
      <c r="AB16" s="22" t="s">
        <v>88</v>
      </c>
    </row>
    <row r="17" spans="1:28" ht="25.15" customHeight="1">
      <c r="A17" s="92">
        <v>6</v>
      </c>
      <c r="B17" s="21" t="s">
        <v>213</v>
      </c>
      <c r="C17" s="27">
        <v>2</v>
      </c>
      <c r="D17" s="27">
        <v>150</v>
      </c>
      <c r="E17" s="27">
        <v>24</v>
      </c>
      <c r="F17" s="27"/>
      <c r="G17" s="28" t="s">
        <v>31</v>
      </c>
      <c r="H17" s="28" t="s">
        <v>32</v>
      </c>
      <c r="I17" s="28" t="s">
        <v>89</v>
      </c>
      <c r="J17" s="13">
        <f>(68.4/3600*E17/C17)*1.13</f>
        <v>0.25764000000000004</v>
      </c>
      <c r="K17" s="13"/>
      <c r="L17" s="13"/>
      <c r="M17" s="13">
        <f>360/Z17</f>
        <v>5.4545454545454543E-2</v>
      </c>
      <c r="N17" s="131">
        <f t="shared" si="5"/>
        <v>0.3121854545454546</v>
      </c>
      <c r="O17" s="131"/>
      <c r="P17" s="25">
        <v>7.24</v>
      </c>
      <c r="Q17" s="25">
        <v>1.35</v>
      </c>
      <c r="R17" s="27" t="s">
        <v>33</v>
      </c>
      <c r="S17" s="22" t="s">
        <v>90</v>
      </c>
      <c r="T17" s="22">
        <v>1</v>
      </c>
      <c r="U17" s="22">
        <v>2</v>
      </c>
      <c r="V17" s="87" t="s">
        <v>219</v>
      </c>
      <c r="W17" s="17" t="s">
        <v>91</v>
      </c>
      <c r="X17" s="22" t="s">
        <v>34</v>
      </c>
      <c r="Y17" s="22">
        <v>22000</v>
      </c>
      <c r="Z17" s="7">
        <f t="shared" si="3"/>
        <v>6600</v>
      </c>
      <c r="AA17" s="15">
        <f t="shared" si="4"/>
        <v>3.3333333333333335</v>
      </c>
      <c r="AB17" s="22" t="s">
        <v>88</v>
      </c>
    </row>
    <row r="18" spans="1:28" ht="25.15" customHeight="1">
      <c r="A18" s="92">
        <v>7</v>
      </c>
      <c r="B18" s="29" t="s">
        <v>92</v>
      </c>
      <c r="C18" s="29" t="s">
        <v>93</v>
      </c>
      <c r="D18" s="29" t="s">
        <v>94</v>
      </c>
      <c r="E18" s="29" t="s">
        <v>95</v>
      </c>
      <c r="F18" s="29"/>
      <c r="G18" s="29" t="s">
        <v>35</v>
      </c>
      <c r="H18" s="29" t="s">
        <v>36</v>
      </c>
      <c r="I18" s="29" t="s">
        <v>96</v>
      </c>
      <c r="J18" s="13">
        <f>(72.8/3600*E18/C18)*1.13</f>
        <v>0.14281944444444442</v>
      </c>
      <c r="K18" s="13"/>
      <c r="L18" s="13"/>
      <c r="M18" s="13"/>
      <c r="N18" s="131">
        <f t="shared" si="5"/>
        <v>0.14281944444444442</v>
      </c>
      <c r="O18" s="131"/>
      <c r="P18" s="29" t="s">
        <v>97</v>
      </c>
      <c r="Q18" s="29" t="s">
        <v>98</v>
      </c>
      <c r="R18" s="29" t="s">
        <v>37</v>
      </c>
      <c r="S18" s="29" t="s">
        <v>99</v>
      </c>
      <c r="T18" s="29" t="s">
        <v>100</v>
      </c>
      <c r="U18" s="29" t="s">
        <v>100</v>
      </c>
      <c r="V18" s="92" t="s">
        <v>209</v>
      </c>
      <c r="W18" s="17" t="s">
        <v>38</v>
      </c>
      <c r="X18" s="29" t="s">
        <v>39</v>
      </c>
      <c r="Y18" s="85">
        <v>20000</v>
      </c>
      <c r="Z18" s="7">
        <f t="shared" si="3"/>
        <v>12672</v>
      </c>
      <c r="AA18" s="15">
        <f t="shared" si="4"/>
        <v>1.5782828282828283</v>
      </c>
      <c r="AB18" s="167" t="s">
        <v>40</v>
      </c>
    </row>
    <row r="19" spans="1:28" ht="25.15" customHeight="1">
      <c r="A19" s="92">
        <v>8</v>
      </c>
      <c r="B19" s="77" t="s">
        <v>41</v>
      </c>
      <c r="C19" s="77" t="s">
        <v>93</v>
      </c>
      <c r="D19" s="77" t="s">
        <v>42</v>
      </c>
      <c r="E19" s="77" t="s">
        <v>43</v>
      </c>
      <c r="F19" s="29"/>
      <c r="G19" s="29" t="s">
        <v>35</v>
      </c>
      <c r="H19" s="29" t="s">
        <v>44</v>
      </c>
      <c r="I19" s="29" t="s">
        <v>45</v>
      </c>
      <c r="J19" s="13">
        <f>(72.8/3600*E19/C19)*1.13</f>
        <v>0.15424499999999997</v>
      </c>
      <c r="K19" s="13"/>
      <c r="L19" s="13"/>
      <c r="M19" s="13">
        <f>(360/Z19)*4</f>
        <v>0.12272727272727273</v>
      </c>
      <c r="N19" s="131">
        <f t="shared" si="5"/>
        <v>0.27697227272727271</v>
      </c>
      <c r="O19" s="131"/>
      <c r="P19" s="29" t="s">
        <v>101</v>
      </c>
      <c r="Q19" s="29" t="s">
        <v>102</v>
      </c>
      <c r="R19" s="29" t="s">
        <v>37</v>
      </c>
      <c r="S19" s="29" t="s">
        <v>103</v>
      </c>
      <c r="T19" s="29" t="s">
        <v>104</v>
      </c>
      <c r="U19" s="29" t="s">
        <v>105</v>
      </c>
      <c r="V19" s="92" t="s">
        <v>218</v>
      </c>
      <c r="W19" s="17" t="s">
        <v>38</v>
      </c>
      <c r="X19" s="29" t="s">
        <v>46</v>
      </c>
      <c r="Y19" s="85">
        <v>20000</v>
      </c>
      <c r="Z19" s="7">
        <f t="shared" si="3"/>
        <v>11733.333333333334</v>
      </c>
      <c r="AA19" s="15">
        <f t="shared" si="4"/>
        <v>1.7045454545454544</v>
      </c>
      <c r="AB19" s="168"/>
    </row>
    <row r="20" spans="1:28" ht="25.15" customHeight="1">
      <c r="A20" s="92">
        <v>9</v>
      </c>
      <c r="B20" s="26" t="s">
        <v>47</v>
      </c>
      <c r="C20" s="26">
        <v>2</v>
      </c>
      <c r="D20" s="26">
        <v>125</v>
      </c>
      <c r="E20" s="26">
        <v>26</v>
      </c>
      <c r="F20" s="7"/>
      <c r="G20" s="30" t="s">
        <v>48</v>
      </c>
      <c r="H20" s="30" t="s">
        <v>49</v>
      </c>
      <c r="I20" s="31" t="s">
        <v>106</v>
      </c>
      <c r="J20" s="13">
        <f>(57.3/3600*E20/C20)*1.13</f>
        <v>0.23381583333333331</v>
      </c>
      <c r="K20" s="13"/>
      <c r="L20" s="13"/>
      <c r="M20" s="13"/>
      <c r="N20" s="137">
        <f t="shared" si="5"/>
        <v>0.23381583333333331</v>
      </c>
      <c r="O20" s="131"/>
      <c r="P20" s="32" t="s">
        <v>50</v>
      </c>
      <c r="Q20" s="78">
        <v>4.5</v>
      </c>
      <c r="R20" s="30" t="s">
        <v>51</v>
      </c>
      <c r="S20" s="30" t="s">
        <v>52</v>
      </c>
      <c r="T20" s="123">
        <v>1</v>
      </c>
      <c r="U20" s="123">
        <v>1</v>
      </c>
      <c r="V20" s="92" t="s">
        <v>107</v>
      </c>
      <c r="W20" s="17" t="s">
        <v>38</v>
      </c>
      <c r="X20" s="30" t="s">
        <v>53</v>
      </c>
      <c r="Y20" s="26">
        <v>5000</v>
      </c>
      <c r="Z20" s="7">
        <f t="shared" si="3"/>
        <v>6092.3076923076915</v>
      </c>
      <c r="AA20" s="15">
        <f t="shared" si="4"/>
        <v>0.82070707070707083</v>
      </c>
      <c r="AB20" s="117"/>
    </row>
    <row r="21" spans="1:28" ht="25.15" customHeight="1">
      <c r="A21" s="92">
        <v>10</v>
      </c>
      <c r="B21" s="26" t="s">
        <v>54</v>
      </c>
      <c r="C21" s="26">
        <v>2</v>
      </c>
      <c r="D21" s="26">
        <v>125</v>
      </c>
      <c r="E21" s="26">
        <v>24</v>
      </c>
      <c r="F21" s="124">
        <v>42</v>
      </c>
      <c r="G21" s="30" t="s">
        <v>229</v>
      </c>
      <c r="H21" s="30" t="s">
        <v>55</v>
      </c>
      <c r="I21" s="31" t="s">
        <v>56</v>
      </c>
      <c r="J21" s="13">
        <f>(57.3/3600*E21/C21)*1.13</f>
        <v>0.21582999999999999</v>
      </c>
      <c r="K21" s="13"/>
      <c r="L21" s="13">
        <f>(57.3/3600*F21/C21)*1.13</f>
        <v>0.37770249999999994</v>
      </c>
      <c r="M21" s="13"/>
      <c r="N21" s="131">
        <f t="shared" si="5"/>
        <v>0.21582999999999999</v>
      </c>
      <c r="O21" s="134">
        <f>L21</f>
        <v>0.37770249999999994</v>
      </c>
      <c r="P21" s="32" t="s">
        <v>57</v>
      </c>
      <c r="Q21" s="78">
        <v>1.7</v>
      </c>
      <c r="R21" s="30" t="s">
        <v>58</v>
      </c>
      <c r="S21" s="30" t="s">
        <v>59</v>
      </c>
      <c r="T21" s="123">
        <v>1</v>
      </c>
      <c r="U21" s="123">
        <v>1</v>
      </c>
      <c r="V21" s="92" t="s">
        <v>107</v>
      </c>
      <c r="W21" s="17" t="s">
        <v>38</v>
      </c>
      <c r="X21" s="30" t="s">
        <v>60</v>
      </c>
      <c r="Y21" s="26">
        <v>5000</v>
      </c>
      <c r="Z21" s="7">
        <f t="shared" si="3"/>
        <v>6600</v>
      </c>
      <c r="AA21" s="15">
        <f t="shared" si="4"/>
        <v>0.75757575757575757</v>
      </c>
      <c r="AB21" s="117"/>
    </row>
    <row r="22" spans="1:28" s="87" customFormat="1" ht="25.15" customHeight="1">
      <c r="A22" s="92">
        <v>11</v>
      </c>
      <c r="B22" s="26" t="s">
        <v>61</v>
      </c>
      <c r="C22" s="26">
        <v>2</v>
      </c>
      <c r="D22" s="26">
        <v>150</v>
      </c>
      <c r="E22" s="26">
        <v>35</v>
      </c>
      <c r="F22" s="30"/>
      <c r="G22" s="30" t="s">
        <v>48</v>
      </c>
      <c r="H22" s="30" t="s">
        <v>62</v>
      </c>
      <c r="I22" s="31" t="s">
        <v>63</v>
      </c>
      <c r="J22" s="13">
        <f>(68.4/3600*E22/C22)*1.13</f>
        <v>0.37572500000000003</v>
      </c>
      <c r="K22" s="13"/>
      <c r="L22" s="13"/>
      <c r="M22" s="13"/>
      <c r="N22" s="137">
        <f t="shared" si="5"/>
        <v>0.37572500000000003</v>
      </c>
      <c r="O22" s="131"/>
      <c r="P22" s="32" t="s">
        <v>64</v>
      </c>
      <c r="Q22" s="78">
        <v>7.75</v>
      </c>
      <c r="R22" s="30" t="s">
        <v>65</v>
      </c>
      <c r="S22" s="30" t="s">
        <v>66</v>
      </c>
      <c r="T22" s="123">
        <v>1</v>
      </c>
      <c r="U22" s="123">
        <v>1</v>
      </c>
      <c r="V22" s="97" t="s">
        <v>107</v>
      </c>
      <c r="W22" s="17" t="s">
        <v>38</v>
      </c>
      <c r="X22" s="30" t="s">
        <v>67</v>
      </c>
      <c r="Y22" s="26">
        <v>5000</v>
      </c>
      <c r="Z22" s="7">
        <f t="shared" si="3"/>
        <v>4525.7142857142862</v>
      </c>
      <c r="AA22" s="15">
        <f t="shared" si="4"/>
        <v>1.1047979797979797</v>
      </c>
      <c r="AB22" s="22"/>
    </row>
    <row r="23" spans="1:28" s="95" customFormat="1" ht="33.6" customHeight="1">
      <c r="A23" s="94">
        <v>12</v>
      </c>
      <c r="B23" s="105">
        <v>3580</v>
      </c>
      <c r="C23" s="106">
        <v>2</v>
      </c>
      <c r="D23" s="65">
        <v>200</v>
      </c>
      <c r="E23" s="107">
        <v>30</v>
      </c>
      <c r="F23" s="126"/>
      <c r="G23" s="74" t="s">
        <v>166</v>
      </c>
      <c r="H23" s="108" t="s">
        <v>167</v>
      </c>
      <c r="I23" s="109" t="s">
        <v>168</v>
      </c>
      <c r="J23" s="69">
        <f>(72.8/3600*E23/C23)*1.13</f>
        <v>0.34276666666666666</v>
      </c>
      <c r="K23" s="69"/>
      <c r="L23" s="69"/>
      <c r="M23" s="68"/>
      <c r="N23" s="132">
        <f t="shared" ref="N23:N33" si="6">J23+M23</f>
        <v>0.34276666666666666</v>
      </c>
      <c r="O23" s="132"/>
      <c r="P23" s="58" t="s">
        <v>169</v>
      </c>
      <c r="Q23" s="94"/>
      <c r="R23" s="59" t="s">
        <v>170</v>
      </c>
      <c r="S23" s="60" t="s">
        <v>171</v>
      </c>
      <c r="T23" s="65">
        <v>1</v>
      </c>
      <c r="U23" s="110">
        <v>1</v>
      </c>
      <c r="V23" s="94" t="s">
        <v>219</v>
      </c>
      <c r="W23" s="61" t="s">
        <v>172</v>
      </c>
      <c r="X23" s="60" t="s">
        <v>173</v>
      </c>
      <c r="Y23" s="65">
        <v>50000</v>
      </c>
      <c r="Z23" s="66">
        <f t="shared" ref="Z23:Z35" si="7">(79200/E23)*C23</f>
        <v>5280</v>
      </c>
      <c r="AA23" s="15">
        <f t="shared" si="4"/>
        <v>9.4696969696969688</v>
      </c>
      <c r="AB23" s="59" t="s">
        <v>174</v>
      </c>
    </row>
    <row r="24" spans="1:28" s="102" customFormat="1" ht="29.25" customHeight="1">
      <c r="A24" s="94">
        <v>13</v>
      </c>
      <c r="B24" s="80">
        <v>3481</v>
      </c>
      <c r="C24" s="80">
        <v>2</v>
      </c>
      <c r="D24" s="80">
        <v>450</v>
      </c>
      <c r="E24" s="80">
        <v>35</v>
      </c>
      <c r="F24" s="169" t="s">
        <v>215</v>
      </c>
      <c r="G24" s="81" t="s">
        <v>175</v>
      </c>
      <c r="H24" s="82" t="s">
        <v>176</v>
      </c>
      <c r="I24" s="82" t="s">
        <v>177</v>
      </c>
      <c r="J24" s="62">
        <f>((154.4+10)/3600*E24/C24)*1.13</f>
        <v>0.9030583333333333</v>
      </c>
      <c r="K24" s="62"/>
      <c r="L24" s="62"/>
      <c r="M24" s="68">
        <f>360/Z24*2</f>
        <v>0.15909090909090912</v>
      </c>
      <c r="N24" s="129">
        <f t="shared" si="6"/>
        <v>1.0621492424242425</v>
      </c>
      <c r="O24" s="129"/>
      <c r="P24" s="111">
        <v>204.1</v>
      </c>
      <c r="Q24" s="101"/>
      <c r="R24" s="65" t="s">
        <v>221</v>
      </c>
      <c r="S24" s="83"/>
      <c r="T24" s="80">
        <v>4</v>
      </c>
      <c r="U24" s="84">
        <v>4</v>
      </c>
      <c r="V24" s="100" t="s">
        <v>219</v>
      </c>
      <c r="W24" s="61" t="s">
        <v>38</v>
      </c>
      <c r="X24" s="122" t="s">
        <v>226</v>
      </c>
      <c r="Y24" s="86">
        <v>30000</v>
      </c>
      <c r="Z24" s="66">
        <f t="shared" si="7"/>
        <v>4525.7142857142853</v>
      </c>
      <c r="AA24" s="15">
        <f t="shared" si="4"/>
        <v>6.6287878787878798</v>
      </c>
      <c r="AB24" s="119"/>
    </row>
    <row r="25" spans="1:28" s="102" customFormat="1" ht="58.5" customHeight="1">
      <c r="A25" s="94">
        <v>14</v>
      </c>
      <c r="B25" s="80">
        <v>2931</v>
      </c>
      <c r="C25" s="80">
        <v>16</v>
      </c>
      <c r="D25" s="80">
        <v>150</v>
      </c>
      <c r="E25" s="80">
        <v>23</v>
      </c>
      <c r="F25" s="170"/>
      <c r="G25" s="81" t="s">
        <v>175</v>
      </c>
      <c r="H25" s="81" t="s">
        <v>178</v>
      </c>
      <c r="I25" s="81" t="s">
        <v>179</v>
      </c>
      <c r="J25" s="62">
        <f>(68.4/3600*E25/C25)*1.13</f>
        <v>3.0863125000000002E-2</v>
      </c>
      <c r="K25" s="137">
        <f>(78.1/3600*E25/C25)*1.13</f>
        <v>3.5239913194444437E-2</v>
      </c>
      <c r="L25" s="62"/>
      <c r="M25" s="68"/>
      <c r="N25" s="129">
        <f t="shared" si="6"/>
        <v>3.0863125000000002E-2</v>
      </c>
      <c r="O25" s="129"/>
      <c r="P25" s="111">
        <v>2.34</v>
      </c>
      <c r="Q25" s="101"/>
      <c r="R25" s="65" t="s">
        <v>222</v>
      </c>
      <c r="S25" s="83"/>
      <c r="T25" s="80">
        <v>1</v>
      </c>
      <c r="U25" s="84">
        <v>1</v>
      </c>
      <c r="V25" s="171" t="s">
        <v>245</v>
      </c>
      <c r="W25" s="61" t="s">
        <v>38</v>
      </c>
      <c r="X25" s="118"/>
      <c r="Y25" s="86">
        <v>60000</v>
      </c>
      <c r="Z25" s="66">
        <f t="shared" si="7"/>
        <v>55095.65217391304</v>
      </c>
      <c r="AA25" s="15">
        <f t="shared" si="4"/>
        <v>1.0890151515151516</v>
      </c>
      <c r="AB25" s="119"/>
    </row>
    <row r="26" spans="1:28" s="155" customFormat="1" ht="23.45" hidden="1" customHeight="1">
      <c r="A26" s="139">
        <v>15</v>
      </c>
      <c r="B26" s="140">
        <v>1634</v>
      </c>
      <c r="C26" s="140">
        <v>4</v>
      </c>
      <c r="D26" s="140">
        <v>80</v>
      </c>
      <c r="E26" s="140">
        <v>25</v>
      </c>
      <c r="F26" s="141"/>
      <c r="G26" s="142" t="s">
        <v>180</v>
      </c>
      <c r="H26" s="143" t="s">
        <v>181</v>
      </c>
      <c r="I26" s="143" t="s">
        <v>182</v>
      </c>
      <c r="J26" s="144">
        <f>(46.3/3600*E26/C26)*1.13</f>
        <v>9.0831597222222199E-2</v>
      </c>
      <c r="K26" s="144"/>
      <c r="L26" s="144"/>
      <c r="M26" s="145"/>
      <c r="N26" s="146">
        <f t="shared" si="6"/>
        <v>9.0831597222222199E-2</v>
      </c>
      <c r="O26" s="147" t="s">
        <v>240</v>
      </c>
      <c r="P26" s="111">
        <v>0.43</v>
      </c>
      <c r="Q26" s="101"/>
      <c r="R26" s="65" t="s">
        <v>37</v>
      </c>
      <c r="S26" s="148"/>
      <c r="T26" s="140">
        <v>1</v>
      </c>
      <c r="U26" s="149">
        <v>1</v>
      </c>
      <c r="V26" s="150" t="s">
        <v>214</v>
      </c>
      <c r="W26" s="151" t="s">
        <v>38</v>
      </c>
      <c r="X26" s="152"/>
      <c r="Y26" s="153">
        <v>60000</v>
      </c>
      <c r="Z26" s="66">
        <f t="shared" si="7"/>
        <v>12672</v>
      </c>
      <c r="AA26" s="15">
        <f t="shared" si="4"/>
        <v>4.7348484848484844</v>
      </c>
      <c r="AB26" s="154"/>
    </row>
    <row r="27" spans="1:28" s="102" customFormat="1" ht="30.75" customHeight="1">
      <c r="A27" s="94">
        <v>16</v>
      </c>
      <c r="B27" s="80">
        <v>1605</v>
      </c>
      <c r="C27" s="80">
        <v>4</v>
      </c>
      <c r="D27" s="80">
        <v>100</v>
      </c>
      <c r="E27" s="80">
        <v>20</v>
      </c>
      <c r="F27" s="7"/>
      <c r="G27" s="81" t="s">
        <v>180</v>
      </c>
      <c r="H27" s="82" t="s">
        <v>183</v>
      </c>
      <c r="I27" s="82">
        <v>101095005016</v>
      </c>
      <c r="J27" s="62">
        <f>(49/3600*E27/C27)*1.13</f>
        <v>7.6902777777777764E-2</v>
      </c>
      <c r="K27" s="62"/>
      <c r="L27" s="62"/>
      <c r="M27" s="68"/>
      <c r="N27" s="138">
        <f t="shared" si="6"/>
        <v>7.6902777777777764E-2</v>
      </c>
      <c r="O27" s="129"/>
      <c r="P27" s="111">
        <v>0.6</v>
      </c>
      <c r="Q27" s="101"/>
      <c r="R27" s="59" t="s">
        <v>37</v>
      </c>
      <c r="S27" s="83"/>
      <c r="T27" s="80">
        <v>1</v>
      </c>
      <c r="U27" s="84">
        <v>1</v>
      </c>
      <c r="V27" s="103" t="s">
        <v>214</v>
      </c>
      <c r="W27" s="61" t="s">
        <v>38</v>
      </c>
      <c r="X27" s="118"/>
      <c r="Y27" s="86">
        <v>100000</v>
      </c>
      <c r="Z27" s="66">
        <f t="shared" si="7"/>
        <v>15840</v>
      </c>
      <c r="AA27" s="15">
        <f t="shared" si="4"/>
        <v>6.3131313131313131</v>
      </c>
      <c r="AB27" s="120" t="s">
        <v>184</v>
      </c>
    </row>
    <row r="28" spans="1:28" s="155" customFormat="1" ht="23.45" hidden="1" customHeight="1">
      <c r="A28" s="139">
        <v>17</v>
      </c>
      <c r="B28" s="140">
        <v>1796</v>
      </c>
      <c r="C28" s="140">
        <v>8</v>
      </c>
      <c r="D28" s="140">
        <v>150</v>
      </c>
      <c r="E28" s="140">
        <v>34</v>
      </c>
      <c r="F28" s="141"/>
      <c r="G28" s="142" t="s">
        <v>180</v>
      </c>
      <c r="H28" s="143" t="s">
        <v>185</v>
      </c>
      <c r="I28" s="143">
        <v>101095005019</v>
      </c>
      <c r="J28" s="144">
        <f>(62/3600*E28/C28)*1.13</f>
        <v>8.2709722222222226E-2</v>
      </c>
      <c r="K28" s="144"/>
      <c r="L28" s="144"/>
      <c r="M28" s="145"/>
      <c r="N28" s="146">
        <f t="shared" si="6"/>
        <v>8.2709722222222226E-2</v>
      </c>
      <c r="O28" s="147" t="s">
        <v>241</v>
      </c>
      <c r="P28" s="111">
        <v>2.6</v>
      </c>
      <c r="Q28" s="101"/>
      <c r="R28" s="65" t="s">
        <v>223</v>
      </c>
      <c r="S28" s="148"/>
      <c r="T28" s="140">
        <v>1</v>
      </c>
      <c r="U28" s="149">
        <v>1</v>
      </c>
      <c r="V28" s="150" t="s">
        <v>214</v>
      </c>
      <c r="W28" s="151" t="s">
        <v>38</v>
      </c>
      <c r="X28" s="152"/>
      <c r="Y28" s="153">
        <v>40000</v>
      </c>
      <c r="Z28" s="66">
        <f t="shared" si="7"/>
        <v>18635.294117647059</v>
      </c>
      <c r="AA28" s="15">
        <f t="shared" si="4"/>
        <v>2.1464646464646462</v>
      </c>
      <c r="AB28" s="156" t="s">
        <v>187</v>
      </c>
    </row>
    <row r="29" spans="1:28" s="102" customFormat="1" ht="23.45" customHeight="1">
      <c r="A29" s="94">
        <v>18</v>
      </c>
      <c r="B29" s="80">
        <v>1599</v>
      </c>
      <c r="C29" s="80">
        <v>4</v>
      </c>
      <c r="D29" s="80">
        <v>200</v>
      </c>
      <c r="E29" s="80">
        <v>32</v>
      </c>
      <c r="F29" s="125"/>
      <c r="G29" s="81" t="s">
        <v>180</v>
      </c>
      <c r="H29" s="82" t="s">
        <v>188</v>
      </c>
      <c r="I29" s="82" t="s">
        <v>189</v>
      </c>
      <c r="J29" s="62">
        <f>(67.6/3600*E29/C29)*1.13</f>
        <v>0.16975111111111107</v>
      </c>
      <c r="K29" s="62"/>
      <c r="L29" s="62"/>
      <c r="M29" s="68">
        <f>360/Z29*2</f>
        <v>7.2727272727272724E-2</v>
      </c>
      <c r="N29" s="129">
        <f t="shared" si="6"/>
        <v>0.2424783838383838</v>
      </c>
      <c r="O29" s="129"/>
      <c r="P29" s="111">
        <v>17.8</v>
      </c>
      <c r="Q29" s="101"/>
      <c r="R29" s="65" t="s">
        <v>224</v>
      </c>
      <c r="S29" s="83"/>
      <c r="T29" s="80">
        <v>2</v>
      </c>
      <c r="U29" s="84">
        <v>3</v>
      </c>
      <c r="V29" s="100" t="s">
        <v>219</v>
      </c>
      <c r="W29" s="61" t="s">
        <v>190</v>
      </c>
      <c r="X29" s="118"/>
      <c r="Y29" s="86">
        <v>40000</v>
      </c>
      <c r="Z29" s="66">
        <f t="shared" si="7"/>
        <v>9900</v>
      </c>
      <c r="AA29" s="15">
        <f t="shared" si="4"/>
        <v>4.0404040404040407</v>
      </c>
      <c r="AB29" s="120" t="s">
        <v>191</v>
      </c>
    </row>
    <row r="30" spans="1:28" s="102" customFormat="1" ht="23.45" hidden="1" customHeight="1">
      <c r="A30" s="139">
        <v>19</v>
      </c>
      <c r="B30" s="153">
        <v>1602</v>
      </c>
      <c r="C30" s="153">
        <v>8</v>
      </c>
      <c r="D30" s="153">
        <v>100</v>
      </c>
      <c r="E30" s="153">
        <v>27</v>
      </c>
      <c r="F30" s="165"/>
      <c r="G30" s="156" t="s">
        <v>180</v>
      </c>
      <c r="H30" s="143" t="s">
        <v>192</v>
      </c>
      <c r="I30" s="143">
        <v>101095005007</v>
      </c>
      <c r="J30" s="62">
        <f>(49/3600*E30/C30)*1.13</f>
        <v>5.1909374999999994E-2</v>
      </c>
      <c r="K30" s="62"/>
      <c r="L30" s="62"/>
      <c r="M30" s="68"/>
      <c r="N30" s="138">
        <f t="shared" si="6"/>
        <v>5.1909374999999994E-2</v>
      </c>
      <c r="O30" s="129" t="s">
        <v>242</v>
      </c>
      <c r="P30" s="111">
        <v>1.8</v>
      </c>
      <c r="Q30" s="101"/>
      <c r="R30" s="65" t="s">
        <v>193</v>
      </c>
      <c r="S30" s="83"/>
      <c r="T30" s="80">
        <v>1</v>
      </c>
      <c r="U30" s="84">
        <v>1</v>
      </c>
      <c r="V30" s="103" t="s">
        <v>214</v>
      </c>
      <c r="W30" s="61" t="s">
        <v>190</v>
      </c>
      <c r="X30" s="118"/>
      <c r="Y30" s="86">
        <v>40000</v>
      </c>
      <c r="Z30" s="66">
        <f t="shared" si="7"/>
        <v>23466.666666666668</v>
      </c>
      <c r="AA30" s="15">
        <f t="shared" si="4"/>
        <v>1.7045454545454544</v>
      </c>
      <c r="AB30" s="120"/>
    </row>
    <row r="31" spans="1:28" s="102" customFormat="1" ht="23.45" customHeight="1">
      <c r="A31" s="94">
        <v>20</v>
      </c>
      <c r="B31" s="80">
        <v>1601</v>
      </c>
      <c r="C31" s="80">
        <v>4</v>
      </c>
      <c r="D31" s="80">
        <v>150</v>
      </c>
      <c r="E31" s="80">
        <v>26</v>
      </c>
      <c r="F31" s="124">
        <v>29</v>
      </c>
      <c r="G31" s="81" t="s">
        <v>180</v>
      </c>
      <c r="H31" s="82" t="s">
        <v>194</v>
      </c>
      <c r="I31" s="82">
        <v>101095005023</v>
      </c>
      <c r="J31" s="62">
        <f>(62/3600*E31/C31)*1.13</f>
        <v>0.12649722222222221</v>
      </c>
      <c r="K31" s="62"/>
      <c r="L31" s="62">
        <f>(62/3600*F31/C31)*1.13</f>
        <v>0.14109305555555554</v>
      </c>
      <c r="M31" s="68"/>
      <c r="N31" s="129">
        <f t="shared" si="6"/>
        <v>0.12649722222222221</v>
      </c>
      <c r="O31" s="135">
        <f>L31</f>
        <v>0.14109305555555554</v>
      </c>
      <c r="P31" s="111">
        <v>4.3099999999999996</v>
      </c>
      <c r="Q31" s="101"/>
      <c r="R31" s="59" t="s">
        <v>186</v>
      </c>
      <c r="S31" s="83"/>
      <c r="T31" s="80">
        <v>1</v>
      </c>
      <c r="U31" s="84">
        <v>1</v>
      </c>
      <c r="V31" s="103" t="s">
        <v>214</v>
      </c>
      <c r="W31" s="61" t="s">
        <v>190</v>
      </c>
      <c r="X31" s="118"/>
      <c r="Y31" s="86">
        <v>40000</v>
      </c>
      <c r="Z31" s="66">
        <f t="shared" si="7"/>
        <v>12184.615384615385</v>
      </c>
      <c r="AA31" s="15">
        <f t="shared" si="4"/>
        <v>3.2828282828282829</v>
      </c>
      <c r="AB31" s="120" t="s">
        <v>195</v>
      </c>
    </row>
    <row r="32" spans="1:28" s="102" customFormat="1" ht="25.15" customHeight="1">
      <c r="A32" s="94">
        <v>21</v>
      </c>
      <c r="B32" s="80">
        <v>1597</v>
      </c>
      <c r="C32" s="80">
        <v>4</v>
      </c>
      <c r="D32" s="80">
        <v>200</v>
      </c>
      <c r="E32" s="80">
        <v>30</v>
      </c>
      <c r="F32" s="7"/>
      <c r="G32" s="81" t="s">
        <v>180</v>
      </c>
      <c r="H32" s="82" t="s">
        <v>196</v>
      </c>
      <c r="I32" s="82" t="s">
        <v>197</v>
      </c>
      <c r="J32" s="62">
        <f>(67.6/3600*E32/C32)*1.13</f>
        <v>0.15914166666666663</v>
      </c>
      <c r="K32" s="62"/>
      <c r="L32" s="62"/>
      <c r="M32" s="68">
        <f>360/Z32</f>
        <v>3.4090909090909088E-2</v>
      </c>
      <c r="N32" s="138">
        <f t="shared" si="6"/>
        <v>0.19323257575757571</v>
      </c>
      <c r="O32" s="129"/>
      <c r="P32" s="111">
        <v>6.8</v>
      </c>
      <c r="Q32" s="101"/>
      <c r="R32" s="65" t="s">
        <v>225</v>
      </c>
      <c r="S32" s="83"/>
      <c r="T32" s="80">
        <v>1</v>
      </c>
      <c r="U32" s="84">
        <v>2</v>
      </c>
      <c r="V32" s="103" t="s">
        <v>211</v>
      </c>
      <c r="W32" s="61" t="s">
        <v>190</v>
      </c>
      <c r="X32" s="118"/>
      <c r="Y32" s="86">
        <v>80000</v>
      </c>
      <c r="Z32" s="66">
        <f t="shared" si="7"/>
        <v>10560</v>
      </c>
      <c r="AA32" s="15">
        <f t="shared" si="4"/>
        <v>7.5757575757575761</v>
      </c>
      <c r="AB32" s="120" t="s">
        <v>198</v>
      </c>
    </row>
    <row r="33" spans="1:28" s="102" customFormat="1" ht="25.15" customHeight="1">
      <c r="A33" s="94">
        <v>22</v>
      </c>
      <c r="B33" s="80">
        <v>1598</v>
      </c>
      <c r="C33" s="80">
        <v>4</v>
      </c>
      <c r="D33" s="80">
        <v>200</v>
      </c>
      <c r="E33" s="80">
        <v>32</v>
      </c>
      <c r="F33" s="7"/>
      <c r="G33" s="81" t="s">
        <v>180</v>
      </c>
      <c r="H33" s="112" t="s">
        <v>199</v>
      </c>
      <c r="I33" s="112">
        <v>201095010101</v>
      </c>
      <c r="J33" s="62">
        <f>(67.6/3600*E33/C33)*1.13</f>
        <v>0.16975111111111107</v>
      </c>
      <c r="K33" s="62"/>
      <c r="L33" s="62"/>
      <c r="M33" s="68"/>
      <c r="N33" s="138">
        <f t="shared" si="6"/>
        <v>0.16975111111111107</v>
      </c>
      <c r="O33" s="129"/>
      <c r="P33" s="111">
        <v>13.88</v>
      </c>
      <c r="Q33" s="101"/>
      <c r="R33" s="65" t="s">
        <v>225</v>
      </c>
      <c r="S33" s="83"/>
      <c r="T33" s="80">
        <v>1</v>
      </c>
      <c r="U33" s="84">
        <v>1</v>
      </c>
      <c r="V33" s="103" t="s">
        <v>211</v>
      </c>
      <c r="W33" s="61" t="s">
        <v>190</v>
      </c>
      <c r="X33" s="118"/>
      <c r="Y33" s="86">
        <v>80000</v>
      </c>
      <c r="Z33" s="66">
        <f t="shared" si="7"/>
        <v>9900</v>
      </c>
      <c r="AA33" s="15">
        <f t="shared" si="4"/>
        <v>8.0808080808080813</v>
      </c>
      <c r="AB33" s="120" t="s">
        <v>200</v>
      </c>
    </row>
    <row r="34" spans="1:28" s="102" customFormat="1" ht="25.15" hidden="1" customHeight="1">
      <c r="A34" s="94">
        <v>23</v>
      </c>
      <c r="B34" s="80">
        <v>3221</v>
      </c>
      <c r="C34" s="80">
        <v>1</v>
      </c>
      <c r="D34" s="80">
        <v>450</v>
      </c>
      <c r="E34" s="80">
        <v>48</v>
      </c>
      <c r="F34" s="7"/>
      <c r="G34" s="81" t="s">
        <v>201</v>
      </c>
      <c r="H34" s="82" t="s">
        <v>202</v>
      </c>
      <c r="I34" s="82" t="s">
        <v>203</v>
      </c>
      <c r="J34" s="62"/>
      <c r="K34" s="62"/>
      <c r="L34" s="62"/>
      <c r="M34" s="62"/>
      <c r="N34" s="129"/>
      <c r="O34" s="129"/>
      <c r="P34" s="111">
        <v>298.85000000000002</v>
      </c>
      <c r="Q34" s="101"/>
      <c r="R34" s="65" t="s">
        <v>204</v>
      </c>
      <c r="S34" s="83"/>
      <c r="T34" s="80">
        <v>2</v>
      </c>
      <c r="U34" s="84">
        <v>2</v>
      </c>
      <c r="V34" s="104" t="s">
        <v>217</v>
      </c>
      <c r="W34" s="61" t="s">
        <v>190</v>
      </c>
      <c r="X34" s="118"/>
      <c r="Y34" s="86">
        <v>17000</v>
      </c>
      <c r="Z34" s="66">
        <f t="shared" si="7"/>
        <v>1650</v>
      </c>
      <c r="AA34" s="15">
        <f t="shared" si="4"/>
        <v>10.303030303030303</v>
      </c>
      <c r="AB34" s="120"/>
    </row>
    <row r="35" spans="1:28" s="102" customFormat="1" ht="25.15" customHeight="1">
      <c r="A35" s="94">
        <v>24</v>
      </c>
      <c r="B35" s="80">
        <v>3181</v>
      </c>
      <c r="C35" s="80">
        <v>1</v>
      </c>
      <c r="D35" s="80">
        <v>450</v>
      </c>
      <c r="E35" s="80">
        <v>59</v>
      </c>
      <c r="F35" s="7"/>
      <c r="G35" s="81" t="s">
        <v>201</v>
      </c>
      <c r="H35" s="82" t="s">
        <v>205</v>
      </c>
      <c r="I35" s="82" t="s">
        <v>243</v>
      </c>
      <c r="J35" s="62">
        <f>(154.4/3600*E35/C35)*1.13</f>
        <v>2.8594022222222222</v>
      </c>
      <c r="K35" s="62"/>
      <c r="L35" s="62"/>
      <c r="M35" s="62"/>
      <c r="N35" s="129"/>
      <c r="O35" s="129"/>
      <c r="P35" s="111">
        <v>88.5</v>
      </c>
      <c r="Q35" s="101"/>
      <c r="R35" s="65" t="s">
        <v>206</v>
      </c>
      <c r="S35" s="83"/>
      <c r="T35" s="80">
        <v>1</v>
      </c>
      <c r="U35" s="84">
        <v>1</v>
      </c>
      <c r="V35" s="104" t="s">
        <v>217</v>
      </c>
      <c r="W35" s="61" t="s">
        <v>190</v>
      </c>
      <c r="X35" s="118"/>
      <c r="Y35" s="86">
        <v>17000</v>
      </c>
      <c r="Z35" s="66">
        <f t="shared" si="7"/>
        <v>1342.3728813559321</v>
      </c>
      <c r="AA35" s="15">
        <f t="shared" si="4"/>
        <v>12.664141414141415</v>
      </c>
      <c r="AB35" s="120"/>
    </row>
  </sheetData>
  <autoFilter ref="A1:AB35"/>
  <mergeCells count="2">
    <mergeCell ref="AB18:AB19"/>
    <mergeCell ref="F24:F25"/>
  </mergeCells>
  <phoneticPr fontId="2" type="noConversion"/>
  <pageMargins left="0.7" right="0.7" top="0.75" bottom="0.75" header="0.3" footer="0.3"/>
  <pageSetup paperSize="9" scale="59" orientation="landscape" r:id="rId1"/>
  <ignoredErrors>
    <ignoredError sqref="N2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4.25"/>
  <sheetData/>
  <phoneticPr fontId="2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2025-02-08T07:27:45Z</dcterms:modified>
</cp:coreProperties>
</file>