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模具外发资料表2024年" sheetId="4" r:id="rId1"/>
    <sheet name="工作表1" sheetId="5" r:id="rId2"/>
  </sheets>
  <definedNames>
    <definedName name="_xlnm._FilterDatabase" localSheetId="0" hidden="1">模具外发资料表2024年!$A$1:$Z$40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4" l="1"/>
  <c r="S10" i="4"/>
  <c r="S9" i="4"/>
  <c r="S8" i="4"/>
  <c r="S6" i="4"/>
  <c r="S5" i="4"/>
  <c r="S4" i="4"/>
  <c r="P7" i="4" l="1"/>
  <c r="I30" i="4" l="1"/>
  <c r="R4" i="4" l="1"/>
  <c r="R5" i="4"/>
  <c r="R6" i="4"/>
  <c r="R12" i="4"/>
  <c r="R13" i="4"/>
  <c r="R15" i="4"/>
  <c r="R16" i="4"/>
  <c r="R17" i="4"/>
  <c r="R23" i="4"/>
  <c r="R24" i="4"/>
  <c r="R25" i="4"/>
  <c r="R26" i="4"/>
  <c r="R27" i="4"/>
  <c r="R28" i="4"/>
  <c r="R29" i="4"/>
  <c r="R31" i="4"/>
  <c r="R33" i="4"/>
  <c r="R34" i="4"/>
  <c r="R2" i="4"/>
  <c r="P3" i="4" l="1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0" i="4"/>
  <c r="P18" i="4"/>
  <c r="P17" i="4"/>
  <c r="P16" i="4"/>
  <c r="P15" i="4"/>
  <c r="P14" i="4"/>
  <c r="P13" i="4"/>
  <c r="P12" i="4"/>
  <c r="P11" i="4"/>
  <c r="P10" i="4"/>
  <c r="P9" i="4"/>
  <c r="P8" i="4"/>
  <c r="P6" i="4"/>
  <c r="P5" i="4"/>
  <c r="P4" i="4"/>
  <c r="P2" i="4"/>
  <c r="I40" i="4" l="1"/>
  <c r="I33" i="4"/>
  <c r="S33" i="4" s="1"/>
  <c r="I32" i="4"/>
  <c r="S32" i="4" s="1"/>
  <c r="I31" i="4"/>
  <c r="S31" i="4" s="1"/>
  <c r="S30" i="4"/>
  <c r="I22" i="4"/>
  <c r="S22" i="4" s="1"/>
  <c r="I21" i="4"/>
  <c r="I20" i="4"/>
  <c r="S20" i="4" s="1"/>
  <c r="I19" i="4"/>
  <c r="I18" i="4"/>
  <c r="S18" i="4" s="1"/>
  <c r="I16" i="4"/>
  <c r="I15" i="4"/>
  <c r="S15" i="4" s="1"/>
  <c r="I14" i="4"/>
  <c r="S14" i="4" s="1"/>
  <c r="I27" i="4"/>
  <c r="S27" i="4" s="1"/>
  <c r="I39" i="4"/>
  <c r="S39" i="4" s="1"/>
  <c r="I38" i="4"/>
  <c r="I37" i="4"/>
  <c r="I36" i="4"/>
  <c r="I35" i="4"/>
  <c r="S35" i="4" s="1"/>
  <c r="I34" i="4"/>
  <c r="S34" i="4" s="1"/>
  <c r="I29" i="4"/>
  <c r="S29" i="4" s="1"/>
  <c r="I28" i="4"/>
  <c r="S28" i="4" s="1"/>
  <c r="I26" i="4"/>
  <c r="S26" i="4" s="1"/>
  <c r="I25" i="4"/>
  <c r="S25" i="4" s="1"/>
  <c r="I24" i="4"/>
  <c r="S24" i="4" s="1"/>
  <c r="I23" i="4"/>
  <c r="S23" i="4" s="1"/>
  <c r="I17" i="4"/>
  <c r="S17" i="4" s="1"/>
  <c r="I13" i="4"/>
  <c r="S13" i="4" s="1"/>
  <c r="I12" i="4"/>
  <c r="S12" i="4" s="1"/>
  <c r="I11" i="4"/>
  <c r="S11" i="4" s="1"/>
  <c r="I10" i="4"/>
  <c r="I9" i="4"/>
  <c r="I8" i="4"/>
  <c r="I7" i="4"/>
  <c r="S7" i="4" s="1"/>
  <c r="I6" i="4"/>
  <c r="I5" i="4"/>
  <c r="I4" i="4"/>
  <c r="I3" i="4"/>
  <c r="S3" i="4" s="1"/>
  <c r="I2" i="4"/>
  <c r="S2" i="4" s="1"/>
  <c r="S38" i="4" l="1"/>
  <c r="S36" i="4"/>
  <c r="S37" i="4"/>
  <c r="S40" i="4"/>
</calcChain>
</file>

<file path=xl/comments1.xml><?xml version="1.0" encoding="utf-8"?>
<comments xmlns="http://schemas.openxmlformats.org/spreadsheetml/2006/main">
  <authors>
    <author>作者</author>
  </authors>
  <commentList>
    <comment ref="H9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17-18料号6/8生管邮件增加蓝  红色</t>
        </r>
      </text>
    </comment>
  </commentList>
</comments>
</file>

<file path=xl/sharedStrings.xml><?xml version="1.0" encoding="utf-8"?>
<sst xmlns="http://schemas.openxmlformats.org/spreadsheetml/2006/main" count="230" uniqueCount="187">
  <si>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</si>
  <si>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</si>
  <si>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</si>
  <si>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</si>
  <si>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</si>
  <si>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</si>
  <si>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</si>
  <si>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</si>
  <si>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</si>
  <si>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</si>
  <si>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</si>
  <si>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</si>
  <si>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</si>
  <si>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生产需用专用治具及设备</t>
  </si>
  <si>
    <t>测量专用治具</t>
  </si>
  <si>
    <t>模具可外发时间</t>
  </si>
  <si>
    <t>Forecast /月</t>
  </si>
  <si>
    <t>备注</t>
  </si>
  <si>
    <t>SM8191</t>
  </si>
  <si>
    <t>DONGLE BOTTOM</t>
  </si>
  <si>
    <t>300X250X221</t>
  </si>
  <si>
    <t>DONGLE TOP</t>
  </si>
  <si>
    <t>250X200X256</t>
  </si>
  <si>
    <t>KEY</t>
  </si>
  <si>
    <t>MCR1908</t>
  </si>
  <si>
    <t>ABS/TAIRILAC/AG15A1/TITAN_GRAY_FR3002</t>
  </si>
  <si>
    <t>BOTTOM_CASE</t>
  </si>
  <si>
    <t>350X500X416</t>
  </si>
  <si>
    <t>LOWER_CASE</t>
  </si>
  <si>
    <t>SM6620</t>
  </si>
  <si>
    <t>KEY_PLATE</t>
  </si>
  <si>
    <t>201200010301B</t>
  </si>
  <si>
    <t>ABS/TAIRILAC/AG15A1/BLACK</t>
  </si>
  <si>
    <t>TOP_KEY</t>
  </si>
  <si>
    <t>201340010301C</t>
  </si>
  <si>
    <t>BOTTOM_CASE注塑成型</t>
  </si>
  <si>
    <t>按键</t>
  </si>
  <si>
    <t>SM8192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</si>
  <si>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</si>
  <si>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</si>
  <si>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</si>
  <si>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</si>
  <si>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</si>
  <si>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</si>
  <si>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</si>
  <si>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ABS/TAIRILAC/AG15A1/#NJ/ABS/TAIRILAC/AG15A1/COAL_BLACK[RC1]</t>
  </si>
  <si>
    <t>SM9360</t>
  </si>
  <si>
    <t>DPI_BUTTON注塑成型</t>
  </si>
  <si>
    <t>201375012401A</t>
  </si>
  <si>
    <t>ABS/CHIMEI/PA757/COAL_BLACK</t>
  </si>
  <si>
    <t>280X250X291</t>
  </si>
  <si>
    <t>FX-375-013</t>
  </si>
  <si>
    <t>DPI_LENS注塑成型</t>
  </si>
  <si>
    <t>201375010901A</t>
  </si>
  <si>
    <t>PC/SABIC/141R-111/TRANSPARENT(散光剂0.3%)</t>
  </si>
  <si>
    <t>250X200X271</t>
  </si>
  <si>
    <t>FX-375-014</t>
  </si>
  <si>
    <t>SIDE_BUTTON注塑成型</t>
  </si>
  <si>
    <t>201375010501A</t>
  </si>
  <si>
    <t>PBT/CCP/1100-200A/BLACK</t>
  </si>
  <si>
    <t>300X270X296</t>
  </si>
  <si>
    <t>FX-375-011</t>
  </si>
  <si>
    <t>POWER_BUTTON</t>
  </si>
  <si>
    <t>250X230X261</t>
  </si>
  <si>
    <t>FX-375-012</t>
  </si>
  <si>
    <t>TOP_CASE注塑成型</t>
  </si>
  <si>
    <t>FX-375-001
FX-375-002</t>
  </si>
  <si>
    <t>BATTERY_HOUSE</t>
  </si>
  <si>
    <t>101375027007A</t>
  </si>
  <si>
    <t>300X400X451</t>
  </si>
  <si>
    <t>FX-375-006</t>
  </si>
  <si>
    <t>ABS/CHIMEI/PA757/BLACK</t>
  </si>
  <si>
    <t>ABS/CHIMEI/PA747/BLACK</t>
  </si>
  <si>
    <t>8</t>
    <phoneticPr fontId="1" type="noConversion"/>
  </si>
  <si>
    <t>ABS/TAIRILAC/AG15A1/#NJ/  ABS/TAIRILAC/AG15A1/TITAN_GRAY_FR3002</t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</si>
  <si>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</si>
  <si>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</si>
  <si>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</si>
  <si>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</si>
  <si>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</si>
  <si>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14.87</t>
    <phoneticPr fontId="1" type="noConversion"/>
  </si>
  <si>
    <t>496*376*396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</si>
  <si>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</si>
  <si>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</si>
  <si>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</si>
  <si>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</si>
  <si>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</si>
  <si>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</si>
  <si>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</si>
  <si>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塑胶原料PC+40%GF</t>
  </si>
  <si>
    <t>OPTIMO_2</t>
    <phoneticPr fontId="1" type="noConversion"/>
  </si>
  <si>
    <t>BASKET_MIDRANGE</t>
    <phoneticPr fontId="1" type="noConversion"/>
  </si>
  <si>
    <t>FX-380-002</t>
    <phoneticPr fontId="1" type="noConversion"/>
  </si>
  <si>
    <t>101264027005A</t>
    <phoneticPr fontId="1" type="noConversion"/>
  </si>
  <si>
    <t>SM8123</t>
    <phoneticPr fontId="1" type="noConversion"/>
  </si>
  <si>
    <t>塑胶原料ABS</t>
  </si>
  <si>
    <t>450X550X481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</si>
  <si>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</si>
  <si>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</si>
  <si>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</si>
  <si>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</si>
  <si>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</si>
  <si>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</si>
  <si>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</si>
  <si>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</si>
  <si>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201344010206A</t>
    <phoneticPr fontId="1" type="noConversion"/>
  </si>
  <si>
    <t>201344010204A</t>
    <phoneticPr fontId="1" type="noConversion"/>
  </si>
  <si>
    <t>201344010202A</t>
    <phoneticPr fontId="1" type="noConversion"/>
  </si>
  <si>
    <t>ABS/FORMOSA/AG15A1/LOTUS</t>
  </si>
  <si>
    <t>201344010205A</t>
    <phoneticPr fontId="1" type="noConversion"/>
  </si>
  <si>
    <t>ABS/FORMOSA/AG15A1/ATLANTIC</t>
  </si>
  <si>
    <t>右/左支架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</si>
  <si>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</si>
  <si>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</si>
  <si>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</si>
  <si>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</si>
  <si>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</si>
  <si>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</si>
  <si>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</si>
  <si>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</si>
  <si>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</si>
  <si>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</si>
  <si>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</si>
  <si>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</si>
  <si>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</si>
  <si>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</si>
  <si>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</si>
  <si>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</si>
  <si>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</si>
  <si>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随机粉碎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</si>
  <si>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</si>
  <si>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</si>
  <si>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</si>
  <si>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</si>
  <si>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</si>
  <si>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</si>
  <si>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201200010101B</t>
    <phoneticPr fontId="1" type="noConversion"/>
  </si>
  <si>
    <t>ABS/FORMOSA/AG15A1/BLACK</t>
  </si>
  <si>
    <t>101200027002B</t>
    <phoneticPr fontId="1" type="noConversion"/>
  </si>
  <si>
    <t>145437138002AR/03AR</t>
    <phoneticPr fontId="1" type="noConversion"/>
  </si>
  <si>
    <t>左/右头带下盖</t>
    <phoneticPr fontId="1" type="noConversion"/>
  </si>
  <si>
    <t>头带装饰盖</t>
  </si>
  <si>
    <t>145437138004AR</t>
  </si>
  <si>
    <t>145437138007AR/08A</t>
    <phoneticPr fontId="1" type="noConversion"/>
  </si>
  <si>
    <t>左/右支架下盖</t>
    <phoneticPr fontId="1" type="noConversion"/>
  </si>
  <si>
    <t>左/右耳壳</t>
    <phoneticPr fontId="1" type="noConversion"/>
  </si>
  <si>
    <t>145437138009AR/10AR</t>
    <phoneticPr fontId="1" type="noConversion"/>
  </si>
  <si>
    <t>ABS/FORMOSA/15AB/BLACK</t>
  </si>
  <si>
    <t>145437138013AR</t>
  </si>
  <si>
    <t>支架POM垫圈</t>
  </si>
  <si>
    <t>POM/POLY/M90-44/BLACK</t>
  </si>
  <si>
    <t>145437138015AR</t>
  </si>
  <si>
    <t>耳壳阻尼片</t>
  </si>
  <si>
    <t>101343027022C</t>
  </si>
  <si>
    <t>MODE_INDICATOR</t>
  </si>
  <si>
    <t>PC/COVESTRO/2407_19G110MB_022271_SEMITANSPARENT(散光?0.5%)</t>
  </si>
  <si>
    <t>SM8191</t>
    <phoneticPr fontId="1" type="noConversion"/>
  </si>
  <si>
    <t>打磨治具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</si>
  <si>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</si>
  <si>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</si>
  <si>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</si>
  <si>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顶钧含税价13%</t>
    <phoneticPr fontId="1" type="noConversion"/>
  </si>
  <si>
    <t>145437138006AR
245437010701AR</t>
    <phoneticPr fontId="1" type="noConversion"/>
  </si>
  <si>
    <t xml:space="preserve">201243013001B </t>
    <phoneticPr fontId="1" type="noConversion"/>
  </si>
  <si>
    <t>201343013001A</t>
    <phoneticPr fontId="1" type="noConversion"/>
  </si>
  <si>
    <t xml:space="preserve">201243013101A </t>
    <phoneticPr fontId="1" type="noConversion"/>
  </si>
  <si>
    <t>201343013101A</t>
    <phoneticPr fontId="1" type="noConversion"/>
  </si>
  <si>
    <t>101218027012D</t>
    <phoneticPr fontId="1" type="noConversion"/>
  </si>
  <si>
    <t>201344010201A</t>
    <phoneticPr fontId="1" type="noConversion"/>
  </si>
  <si>
    <t>101344027007B</t>
    <phoneticPr fontId="1" type="noConversion"/>
  </si>
  <si>
    <t>201317010201E</t>
    <phoneticPr fontId="1" type="noConversion"/>
  </si>
  <si>
    <t>201375010101A</t>
    <phoneticPr fontId="1" type="noConversion"/>
  </si>
  <si>
    <t>101375027008A</t>
    <phoneticPr fontId="1" type="noConversion"/>
  </si>
  <si>
    <t>頂勤</t>
    <phoneticPr fontId="1" type="noConversion"/>
  </si>
  <si>
    <t>做採購件</t>
    <phoneticPr fontId="1" type="noConversion"/>
  </si>
  <si>
    <t>0.123+</t>
    <phoneticPr fontId="1" type="noConversion"/>
  </si>
  <si>
    <t>0.126+</t>
    <phoneticPr fontId="1" type="noConversion"/>
  </si>
  <si>
    <t>0.201+</t>
    <phoneticPr fontId="1" type="noConversion"/>
  </si>
  <si>
    <t>少穴无法外发</t>
    <phoneticPr fontId="1" type="noConversion"/>
  </si>
  <si>
    <t>少穴无法外发</t>
    <phoneticPr fontId="1" type="noConversion"/>
  </si>
  <si>
    <t>1人費用</t>
    <phoneticPr fontId="1" type="noConversion"/>
  </si>
  <si>
    <t>山聖(含稅)</t>
    <phoneticPr fontId="1" type="noConversion"/>
  </si>
  <si>
    <t>頂鈞含用人費用</t>
    <phoneticPr fontId="1" type="noConversion"/>
  </si>
  <si>
    <t>最終同意依頂鈞價格接</t>
    <phoneticPr fontId="1" type="noConversion"/>
  </si>
  <si>
    <t>无此机台设备(電動機)，故周期无法达到要求</t>
    <phoneticPr fontId="1" type="noConversion"/>
  </si>
  <si>
    <t>人數</t>
    <phoneticPr fontId="1" type="noConversion"/>
  </si>
  <si>
    <t>145437138016AR
145437138017AR
145437138018AR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</si>
</sst>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);[Red]\(0\)"/>
    <numFmt numFmtId="177" formatCode="[$￥-804]#,##0.0"/>
    <numFmt numFmtId="178" formatCode="0.00;[Red]0.00"/>
    <numFmt numFmtId="179" formatCode="m&quot;月&quot;d&quot;日&quot;;@"/>
    <numFmt numFmtId="180" formatCode="0;[Red]0"/>
    <numFmt numFmtId="181" formatCode="[$-409]yyyy/m/d\ h:mm\ AM/PM;@"/>
    <numFmt numFmtId="182" formatCode="0_ ;[Red]\-0\ "/>
    <numFmt numFmtId="183" formatCode="&quot; &quot;[$EUR]* #,##0.00&quot; &quot;;&quot; &quot;[$EUR]* \(#,##0.00\);&quot; &quot;[$EUR]* &quot;-&quot;??&quot; &quot;"/>
    <numFmt numFmtId="184" formatCode="0.000_);[Red]\(0.000\)"/>
    <numFmt numFmtId="185" formatCode="0.0000_);[Red]\(0.0000\)"/>
  </numFmts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1"/>
      <color theme="1"/>
      <name val="等线"/>
      <family val="3"/>
      <charset val="134"/>
      <scheme val="minor"/>
    </font>
    <font>
      <sz val="12"/>
      <name val="新細明體"/>
      <family val="22"/>
      <charset val="134"/>
    </font>
    <font>
      <sz val="12"/>
      <color rgb="FFFF000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7" fontId="2" fillId="0" borderId="0">
      <alignment vertical="center"/>
    </xf>
    <xf numFmtId="181" fontId="4" fillId="0" borderId="0">
      <alignment vertical="center"/>
    </xf>
    <xf numFmtId="181" fontId="5" fillId="0" borderId="0">
      <alignment vertical="center"/>
    </xf>
    <xf numFmtId="181" fontId="4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77" fontId="7" fillId="0" borderId="0"/>
    <xf numFmtId="177" fontId="8" fillId="0" borderId="0">
      <alignment vertical="center"/>
    </xf>
    <xf numFmtId="177" fontId="8" fillId="0" borderId="0">
      <alignment vertical="center"/>
    </xf>
    <xf numFmtId="183" fontId="5" fillId="0" borderId="0">
      <alignment vertical="center"/>
    </xf>
    <xf numFmtId="0" fontId="9" fillId="0" borderId="0"/>
  </cellStyleXfs>
  <cellXfs count="88">
    <xf numFmtId="0" fontId="0" fillId="0" borderId="0" xfId="0"/>
    <xf numFmtId="176" fontId="3" fillId="0" borderId="1" xfId="0" applyNumberFormat="1" applyFont="1" applyFill="1" applyBorder="1" applyAlignment="1">
      <alignment horizontal="center" vertical="center" wrapText="1"/>
    </xf>
    <xf numFmtId="182" fontId="5" fillId="0" borderId="1" xfId="7" applyNumberFormat="1" applyFont="1" applyFill="1" applyBorder="1" applyAlignment="1">
      <alignment horizontal="center" vertical="center" shrinkToFit="1"/>
    </xf>
    <xf numFmtId="176" fontId="5" fillId="0" borderId="1" xfId="8" applyNumberFormat="1" applyFont="1" applyFill="1" applyBorder="1" applyAlignment="1">
      <alignment horizontal="center" vertical="center" shrinkToFit="1"/>
    </xf>
    <xf numFmtId="182" fontId="5" fillId="0" borderId="1" xfId="9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3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1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wrapText="1" shrinkToFit="1"/>
    </xf>
    <xf numFmtId="180" fontId="5" fillId="0" borderId="1" xfId="9" applyNumberFormat="1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80" fontId="6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0" fontId="2" fillId="0" borderId="2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shrinkToFit="1"/>
    </xf>
    <xf numFmtId="179" fontId="2" fillId="0" borderId="2" xfId="1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8" fontId="2" fillId="0" borderId="2" xfId="1" applyNumberFormat="1" applyFont="1" applyFill="1" applyBorder="1" applyAlignment="1">
      <alignment horizontal="center" vertical="center" shrinkToFit="1"/>
    </xf>
    <xf numFmtId="178" fontId="5" fillId="0" borderId="1" xfId="1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Alignment="1">
      <alignment horizontal="center" vertical="center" shrinkToFit="1"/>
    </xf>
    <xf numFmtId="180" fontId="2" fillId="2" borderId="1" xfId="1" applyNumberFormat="1" applyFont="1" applyFill="1" applyBorder="1" applyAlignment="1">
      <alignment horizontal="center" vertical="center" wrapText="1"/>
    </xf>
    <xf numFmtId="184" fontId="10" fillId="0" borderId="5" xfId="5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84" fontId="10" fillId="3" borderId="5" xfId="5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184" fontId="2" fillId="0" borderId="2" xfId="1" applyNumberFormat="1" applyFont="1" applyFill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 wrapText="1"/>
    </xf>
    <xf numFmtId="49" fontId="11" fillId="0" borderId="1" xfId="10" applyNumberFormat="1" applyFont="1" applyFill="1" applyBorder="1" applyAlignment="1">
      <alignment horizontal="center" vertical="center" shrinkToFit="1"/>
    </xf>
    <xf numFmtId="0" fontId="9" fillId="0" borderId="0" xfId="0" applyFont="1"/>
    <xf numFmtId="184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vertical="center"/>
    </xf>
    <xf numFmtId="184" fontId="3" fillId="5" borderId="1" xfId="0" applyNumberFormat="1" applyFont="1" applyFill="1" applyBorder="1" applyAlignment="1">
      <alignment horizontal="center" vertical="center"/>
    </xf>
    <xf numFmtId="185" fontId="3" fillId="0" borderId="1" xfId="0" applyNumberFormat="1" applyFont="1" applyFill="1" applyBorder="1" applyAlignment="1">
      <alignment horizontal="center" vertical="center"/>
    </xf>
    <xf numFmtId="184" fontId="3" fillId="3" borderId="1" xfId="0" applyNumberFormat="1" applyFont="1" applyFill="1" applyBorder="1" applyAlignment="1">
      <alignment horizontal="center" vertical="center"/>
    </xf>
    <xf numFmtId="180" fontId="3" fillId="6" borderId="1" xfId="0" applyNumberFormat="1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vertical="center"/>
    </xf>
    <xf numFmtId="184" fontId="3" fillId="0" borderId="3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 vertical="center"/>
    </xf>
    <xf numFmtId="184" fontId="10" fillId="4" borderId="5" xfId="5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76" fontId="3" fillId="4" borderId="0" xfId="0" applyNumberFormat="1" applyFont="1" applyFill="1" applyAlignment="1">
      <alignment horizontal="center" vertical="center"/>
    </xf>
    <xf numFmtId="185" fontId="3" fillId="4" borderId="1" xfId="0" applyNumberFormat="1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 vertical="center" shrinkToFit="1"/>
    </xf>
    <xf numFmtId="184" fontId="3" fillId="4" borderId="1" xfId="0" applyNumberFormat="1" applyFont="1" applyFill="1" applyBorder="1" applyAlignment="1">
      <alignment horizontal="center" vertical="center" wrapText="1"/>
    </xf>
    <xf numFmtId="184" fontId="2" fillId="4" borderId="2" xfId="1" applyNumberFormat="1" applyFont="1" applyFill="1" applyBorder="1" applyAlignment="1">
      <alignment horizontal="center" vertical="center" wrapText="1"/>
    </xf>
    <xf numFmtId="184" fontId="3" fillId="4" borderId="0" xfId="0" applyNumberFormat="1" applyFont="1" applyFill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 vertical="center" wrapText="1"/>
    </xf>
    <xf numFmtId="184" fontId="3" fillId="4" borderId="2" xfId="0" applyNumberFormat="1" applyFont="1" applyFill="1" applyBorder="1" applyAlignment="1">
      <alignment horizontal="center" vertical="center" wrapText="1"/>
    </xf>
    <xf numFmtId="184" fontId="3" fillId="4" borderId="4" xfId="0" applyNumberFormat="1" applyFont="1" applyFill="1" applyBorder="1" applyAlignment="1">
      <alignment horizontal="center" vertical="center" wrapText="1"/>
    </xf>
    <xf numFmtId="184" fontId="3" fillId="3" borderId="2" xfId="0" applyNumberFormat="1" applyFont="1" applyFill="1" applyBorder="1" applyAlignment="1">
      <alignment horizontal="center" vertical="center" wrapText="1"/>
    </xf>
    <xf numFmtId="184" fontId="3" fillId="3" borderId="4" xfId="0" applyNumberFormat="1" applyFont="1" applyFill="1" applyBorder="1" applyAlignment="1">
      <alignment horizontal="center" vertical="center" wrapText="1"/>
    </xf>
    <xf numFmtId="184" fontId="3" fillId="3" borderId="4" xfId="0" applyNumberFormat="1" applyFont="1" applyFill="1" applyBorder="1" applyAlignment="1">
      <alignment horizontal="center" vertical="center"/>
    </xf>
    <xf numFmtId="184" fontId="3" fillId="3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</cellXfs>
  <cellStyles count="12">
    <cellStyle name="常规" xfId="0" builtinId="0"/>
    <cellStyle name="常规 2" xfId="2"/>
    <cellStyle name="常规 3" xfId="3"/>
    <cellStyle name="一般 2" xfId="11"/>
    <cellStyle name="一般 3" xfId="1"/>
    <cellStyle name="一般 4" xfId="6"/>
    <cellStyle name="一般 5" xfId="5"/>
    <cellStyle name="一般 9" xfId="4"/>
    <cellStyle name="一般_0208群光出货排程 2" xfId="8"/>
    <cellStyle name="一般_0214群光出货排程 2" xfId="9"/>
    <cellStyle name="一般_Mibtech Tooling List_080627 5" xfId="10"/>
    <cellStyle name="一般_交貨排程11041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684086</xdr:colOff>
      <xdr:row>49</xdr:row>
      <xdr:rowOff>65603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9"/>
  <sheetViews>
    <sheetView tabSelected="1" zoomScale="90" zoomScaleNormal="90" workbookViewId="0">
      <selection activeCell="V7" sqref="V7"/>
    </sheetView>
  </sheetViews>
  <sheetFormatPr defaultColWidth="9" defaultRowHeight="14.25"/>
  <cols>
    <col min="1" max="1" width="6.375" style="17" customWidth="1"/>
    <col min="2" max="2" width="11.5" style="20" customWidth="1"/>
    <col min="3" max="3" width="6.125" style="17" customWidth="1"/>
    <col min="4" max="5" width="5.625" style="17" customWidth="1"/>
    <col min="6" max="6" width="9.25" style="17" customWidth="1"/>
    <col min="7" max="7" width="21" style="17" customWidth="1"/>
    <col min="8" max="8" width="20.25" style="20" customWidth="1"/>
    <col min="9" max="9" width="9" style="20" customWidth="1"/>
    <col min="10" max="10" width="9" style="37" hidden="1" customWidth="1"/>
    <col min="11" max="11" width="8.625" style="37" hidden="1" customWidth="1"/>
    <col min="12" max="12" width="13.125" style="24" hidden="1" customWidth="1"/>
    <col min="13" max="13" width="12.75" style="17" hidden="1" customWidth="1"/>
    <col min="14" max="14" width="6.75" style="17" customWidth="1"/>
    <col min="15" max="15" width="5.875" style="17" customWidth="1"/>
    <col min="16" max="16" width="6.5" style="17" customWidth="1"/>
    <col min="17" max="17" width="9" style="17" hidden="1" customWidth="1"/>
    <col min="18" max="18" width="8.625" style="17" customWidth="1"/>
    <col min="19" max="19" width="10.25" style="73" customWidth="1"/>
    <col min="20" max="20" width="13.625" style="50" customWidth="1"/>
    <col min="21" max="21" width="9.25" style="50" customWidth="1"/>
    <col min="22" max="22" width="13.375" style="17" customWidth="1"/>
    <col min="23" max="23" width="15.375" style="17" customWidth="1"/>
    <col min="24" max="24" width="9.875" style="19" customWidth="1"/>
    <col min="25" max="25" width="9.5" style="17" hidden="1" customWidth="1"/>
    <col min="26" max="26" width="10.625" style="17" customWidth="1"/>
    <col min="27" max="16384" width="9" style="17"/>
  </cols>
  <sheetData>
    <row r="1" spans="1:26" ht="43.15" customHeight="1">
      <c r="A1" s="17" t="s">
        <v>122</v>
      </c>
      <c r="B1" s="25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5" t="s">
        <v>6</v>
      </c>
      <c r="I1" s="38" t="s">
        <v>161</v>
      </c>
      <c r="J1" s="34" t="s">
        <v>7</v>
      </c>
      <c r="K1" s="34" t="s">
        <v>8</v>
      </c>
      <c r="L1" s="27" t="s">
        <v>9</v>
      </c>
      <c r="M1" s="26" t="s">
        <v>10</v>
      </c>
      <c r="N1" s="26" t="s">
        <v>11</v>
      </c>
      <c r="O1" s="26" t="s">
        <v>12</v>
      </c>
      <c r="P1" s="26" t="s">
        <v>185</v>
      </c>
      <c r="R1" s="26" t="s">
        <v>180</v>
      </c>
      <c r="S1" s="72" t="s">
        <v>182</v>
      </c>
      <c r="T1" s="48" t="s">
        <v>181</v>
      </c>
      <c r="U1" s="48" t="s">
        <v>173</v>
      </c>
      <c r="V1" s="26" t="s">
        <v>13</v>
      </c>
      <c r="W1" s="26" t="s">
        <v>14</v>
      </c>
      <c r="X1" s="28" t="s">
        <v>15</v>
      </c>
      <c r="Y1" s="26" t="s">
        <v>16</v>
      </c>
      <c r="Z1" s="32" t="s">
        <v>17</v>
      </c>
    </row>
    <row r="2" spans="1:26" ht="37.5" customHeight="1">
      <c r="A2" s="30">
        <v>1</v>
      </c>
      <c r="B2" s="29">
        <v>3996</v>
      </c>
      <c r="C2" s="30" t="s">
        <v>112</v>
      </c>
      <c r="D2" s="30">
        <v>180</v>
      </c>
      <c r="E2" s="30">
        <v>30</v>
      </c>
      <c r="F2" s="30">
        <v>2602</v>
      </c>
      <c r="G2" s="30" t="s">
        <v>111</v>
      </c>
      <c r="H2" s="15" t="s">
        <v>162</v>
      </c>
      <c r="I2" s="39">
        <f>((70.6/3600*E2/2)*1.13)/2</f>
        <v>0.16620416666666663</v>
      </c>
      <c r="J2" s="13" t="s">
        <v>159</v>
      </c>
      <c r="K2" s="13">
        <v>7.5</v>
      </c>
      <c r="L2" s="5" t="s">
        <v>71</v>
      </c>
      <c r="M2" s="30"/>
      <c r="N2" s="30">
        <v>2</v>
      </c>
      <c r="O2" s="30">
        <v>2</v>
      </c>
      <c r="P2" s="30">
        <f>O2-1</f>
        <v>1</v>
      </c>
      <c r="Q2" s="17">
        <v>5280</v>
      </c>
      <c r="R2" s="57">
        <f>360/Q2</f>
        <v>6.8181818181818177E-2</v>
      </c>
      <c r="S2" s="54">
        <f t="shared" ref="S2:S18" si="0">I2+R2</f>
        <v>0.2343859848484848</v>
      </c>
      <c r="T2" s="51"/>
      <c r="U2" s="49"/>
      <c r="V2" s="10"/>
      <c r="W2" s="30"/>
      <c r="X2" s="18"/>
      <c r="Y2" s="30">
        <v>12000</v>
      </c>
      <c r="Z2" s="30"/>
    </row>
    <row r="3" spans="1:26" ht="31.15" customHeight="1">
      <c r="A3" s="30">
        <v>2</v>
      </c>
      <c r="B3" s="29">
        <v>3999</v>
      </c>
      <c r="C3" s="30" t="s">
        <v>115</v>
      </c>
      <c r="D3" s="30">
        <v>280</v>
      </c>
      <c r="E3" s="30">
        <v>39</v>
      </c>
      <c r="F3" s="30">
        <v>2602</v>
      </c>
      <c r="G3" s="30" t="s">
        <v>114</v>
      </c>
      <c r="H3" s="15" t="s">
        <v>116</v>
      </c>
      <c r="I3" s="39">
        <f>((94.8/3600*E3/2)*1.13)/2</f>
        <v>0.29012749999999993</v>
      </c>
      <c r="J3" s="13" t="s">
        <v>160</v>
      </c>
      <c r="K3" s="13">
        <v>32.869999999999997</v>
      </c>
      <c r="L3" s="5" t="s">
        <v>71</v>
      </c>
      <c r="M3" s="30"/>
      <c r="N3" s="30">
        <v>2</v>
      </c>
      <c r="O3" s="30">
        <v>2</v>
      </c>
      <c r="P3" s="30">
        <f>O2-2</f>
        <v>0</v>
      </c>
      <c r="Q3" s="17">
        <v>4061.5384615384614</v>
      </c>
      <c r="R3" s="57"/>
      <c r="S3" s="54">
        <f t="shared" si="0"/>
        <v>0.29012749999999993</v>
      </c>
      <c r="T3" s="51"/>
      <c r="U3" s="49"/>
      <c r="V3" s="10"/>
      <c r="W3" s="30"/>
      <c r="X3" s="18"/>
      <c r="Y3" s="30">
        <v>12000</v>
      </c>
      <c r="Z3" s="30"/>
    </row>
    <row r="4" spans="1:26" s="67" customFormat="1" ht="24" customHeight="1">
      <c r="A4" s="62">
        <v>3</v>
      </c>
      <c r="B4" s="63">
        <v>3994</v>
      </c>
      <c r="C4" s="62" t="s">
        <v>117</v>
      </c>
      <c r="D4" s="62">
        <v>125</v>
      </c>
      <c r="E4" s="62">
        <v>29</v>
      </c>
      <c r="F4" s="62">
        <v>2602</v>
      </c>
      <c r="G4" s="62" t="s">
        <v>140</v>
      </c>
      <c r="H4" s="63" t="s">
        <v>139</v>
      </c>
      <c r="I4" s="64">
        <f>((57.3/3600*E4/2)*1.13)/2</f>
        <v>0.13039729166666664</v>
      </c>
      <c r="J4" s="65">
        <v>4.08</v>
      </c>
      <c r="K4" s="65">
        <v>7.2</v>
      </c>
      <c r="L4" s="66" t="s">
        <v>71</v>
      </c>
      <c r="M4" s="62"/>
      <c r="N4" s="62">
        <v>2</v>
      </c>
      <c r="O4" s="62">
        <v>2</v>
      </c>
      <c r="P4" s="62">
        <f>O4-1</f>
        <v>1</v>
      </c>
      <c r="Q4" s="67">
        <v>5462.0689655172418</v>
      </c>
      <c r="R4" s="68">
        <f t="shared" ref="R4:R34" si="1">360/Q4</f>
        <v>6.5909090909090903E-2</v>
      </c>
      <c r="S4" s="54">
        <f>I4+R4</f>
        <v>0.19630638257575755</v>
      </c>
      <c r="T4" s="75" t="s">
        <v>183</v>
      </c>
      <c r="U4" s="54"/>
      <c r="V4" s="62"/>
      <c r="W4" s="62"/>
      <c r="X4" s="69"/>
      <c r="Y4" s="62">
        <v>12000</v>
      </c>
      <c r="Z4" s="62"/>
    </row>
    <row r="5" spans="1:26" s="67" customFormat="1" ht="26.25" customHeight="1">
      <c r="A5" s="62">
        <v>4</v>
      </c>
      <c r="B5" s="63">
        <v>3995</v>
      </c>
      <c r="C5" s="62">
        <v>4</v>
      </c>
      <c r="D5" s="62">
        <v>50</v>
      </c>
      <c r="E5" s="62">
        <v>28</v>
      </c>
      <c r="F5" s="62">
        <v>2602</v>
      </c>
      <c r="G5" s="62" t="s">
        <v>141</v>
      </c>
      <c r="H5" s="63" t="s">
        <v>142</v>
      </c>
      <c r="I5" s="64">
        <f>(50.7/3600*E5/C5)*1.13</f>
        <v>0.11139916666666666</v>
      </c>
      <c r="J5" s="65">
        <v>0.1</v>
      </c>
      <c r="K5" s="65">
        <v>1.05</v>
      </c>
      <c r="L5" s="66" t="s">
        <v>72</v>
      </c>
      <c r="M5" s="62"/>
      <c r="N5" s="62">
        <v>2</v>
      </c>
      <c r="O5" s="62">
        <v>2</v>
      </c>
      <c r="P5" s="62">
        <f>O5-1</f>
        <v>1</v>
      </c>
      <c r="Q5" s="67">
        <v>11314.285714285716</v>
      </c>
      <c r="R5" s="68">
        <f t="shared" si="1"/>
        <v>3.1818181818181815E-2</v>
      </c>
      <c r="S5" s="54">
        <f>I5+R5</f>
        <v>0.14321734848484846</v>
      </c>
      <c r="T5" s="76"/>
      <c r="U5" s="54"/>
      <c r="V5" s="62"/>
      <c r="W5" s="62"/>
      <c r="X5" s="69"/>
      <c r="Y5" s="62">
        <v>12000</v>
      </c>
      <c r="Z5" s="62"/>
    </row>
    <row r="6" spans="1:26" s="67" customFormat="1" ht="26.25" customHeight="1">
      <c r="A6" s="62">
        <v>5</v>
      </c>
      <c r="B6" s="63">
        <v>3997</v>
      </c>
      <c r="C6" s="62" t="s">
        <v>118</v>
      </c>
      <c r="D6" s="62">
        <v>150</v>
      </c>
      <c r="E6" s="62">
        <v>32</v>
      </c>
      <c r="F6" s="62">
        <v>2602</v>
      </c>
      <c r="G6" s="62" t="s">
        <v>144</v>
      </c>
      <c r="H6" s="63" t="s">
        <v>143</v>
      </c>
      <c r="I6" s="64">
        <f>((68.4/3600*E6/2)*1.13)/2</f>
        <v>0.17176000000000002</v>
      </c>
      <c r="J6" s="65">
        <v>0.68</v>
      </c>
      <c r="K6" s="65">
        <v>4.4000000000000004</v>
      </c>
      <c r="L6" s="66" t="s">
        <v>71</v>
      </c>
      <c r="M6" s="62"/>
      <c r="N6" s="62">
        <v>2</v>
      </c>
      <c r="O6" s="62">
        <v>2</v>
      </c>
      <c r="P6" s="62">
        <f>O6-1</f>
        <v>1</v>
      </c>
      <c r="Q6" s="67">
        <v>4950</v>
      </c>
      <c r="R6" s="68">
        <f t="shared" si="1"/>
        <v>7.2727272727272724E-2</v>
      </c>
      <c r="S6" s="54">
        <f>I6+R6</f>
        <v>0.24448727272727275</v>
      </c>
      <c r="T6" s="76"/>
      <c r="U6" s="54"/>
      <c r="V6" s="62"/>
      <c r="W6" s="62"/>
      <c r="X6" s="69"/>
      <c r="Y6" s="62">
        <v>12000</v>
      </c>
      <c r="Z6" s="62"/>
    </row>
    <row r="7" spans="1:26" ht="26.25" customHeight="1">
      <c r="A7" s="30">
        <v>6</v>
      </c>
      <c r="B7" s="29">
        <v>3998</v>
      </c>
      <c r="C7" s="30" t="s">
        <v>119</v>
      </c>
      <c r="D7" s="30">
        <v>280</v>
      </c>
      <c r="E7" s="30">
        <v>45</v>
      </c>
      <c r="F7" s="30">
        <v>2602</v>
      </c>
      <c r="G7" s="30" t="s">
        <v>145</v>
      </c>
      <c r="H7" s="29" t="s">
        <v>146</v>
      </c>
      <c r="I7" s="39">
        <f>((94.8/3600*E7/2)*1.13)/2</f>
        <v>0.33476249999999996</v>
      </c>
      <c r="J7" s="13">
        <v>23.82</v>
      </c>
      <c r="K7" s="13">
        <v>39.700000000000003</v>
      </c>
      <c r="L7" s="5" t="s">
        <v>147</v>
      </c>
      <c r="M7" s="30"/>
      <c r="N7" s="30">
        <v>2</v>
      </c>
      <c r="O7" s="30">
        <v>2</v>
      </c>
      <c r="P7" s="30">
        <f>O7-2</f>
        <v>0</v>
      </c>
      <c r="Q7" s="17">
        <v>3520</v>
      </c>
      <c r="R7" s="57"/>
      <c r="S7" s="54">
        <f t="shared" si="0"/>
        <v>0.33476249999999996</v>
      </c>
      <c r="T7" s="60"/>
      <c r="U7" s="49"/>
      <c r="V7" s="30"/>
      <c r="W7" s="30"/>
      <c r="X7" s="18"/>
      <c r="Y7" s="30">
        <v>12000</v>
      </c>
      <c r="Z7" s="30"/>
    </row>
    <row r="8" spans="1:26" s="67" customFormat="1" ht="26.25" customHeight="1">
      <c r="A8" s="62">
        <v>7</v>
      </c>
      <c r="B8" s="63">
        <v>4000</v>
      </c>
      <c r="C8" s="62">
        <v>4</v>
      </c>
      <c r="D8" s="62">
        <v>80</v>
      </c>
      <c r="E8" s="62">
        <v>31</v>
      </c>
      <c r="F8" s="62">
        <v>2602</v>
      </c>
      <c r="G8" s="62" t="s">
        <v>36</v>
      </c>
      <c r="H8" s="63" t="s">
        <v>148</v>
      </c>
      <c r="I8" s="64">
        <f>(50.7/3600*E8/C8)*1.13</f>
        <v>0.12333479166666667</v>
      </c>
      <c r="J8" s="65">
        <v>0.28000000000000003</v>
      </c>
      <c r="K8" s="65">
        <v>1.86</v>
      </c>
      <c r="L8" s="66" t="s">
        <v>147</v>
      </c>
      <c r="M8" s="62"/>
      <c r="N8" s="62">
        <v>1</v>
      </c>
      <c r="O8" s="62">
        <v>1</v>
      </c>
      <c r="P8" s="62">
        <f t="shared" ref="P8:P40" si="2">O8-1</f>
        <v>0</v>
      </c>
      <c r="Q8" s="67">
        <v>10219.354838709678</v>
      </c>
      <c r="R8" s="68"/>
      <c r="S8" s="54">
        <f>I8+R8</f>
        <v>0.12333479166666667</v>
      </c>
      <c r="T8" s="75" t="s">
        <v>183</v>
      </c>
      <c r="U8" s="54"/>
      <c r="V8" s="62"/>
      <c r="W8" s="62"/>
      <c r="X8" s="69"/>
      <c r="Y8" s="62">
        <v>12000</v>
      </c>
      <c r="Z8" s="62"/>
    </row>
    <row r="9" spans="1:26" s="67" customFormat="1" ht="43.5" customHeight="1">
      <c r="A9" s="62">
        <v>8</v>
      </c>
      <c r="B9" s="63">
        <v>4001</v>
      </c>
      <c r="C9" s="62">
        <v>4</v>
      </c>
      <c r="D9" s="62">
        <v>50</v>
      </c>
      <c r="E9" s="62">
        <v>26</v>
      </c>
      <c r="F9" s="62">
        <v>2602</v>
      </c>
      <c r="G9" s="62" t="s">
        <v>149</v>
      </c>
      <c r="H9" s="74" t="s">
        <v>186</v>
      </c>
      <c r="I9" s="64">
        <f>(50.7/3600*E9/C9)*1.13</f>
        <v>0.10344208333333334</v>
      </c>
      <c r="J9" s="65">
        <v>0.17</v>
      </c>
      <c r="K9" s="65">
        <v>2.23</v>
      </c>
      <c r="L9" s="66" t="s">
        <v>150</v>
      </c>
      <c r="M9" s="62"/>
      <c r="N9" s="62">
        <v>1</v>
      </c>
      <c r="O9" s="62">
        <v>1</v>
      </c>
      <c r="P9" s="62">
        <f t="shared" si="2"/>
        <v>0</v>
      </c>
      <c r="Q9" s="67">
        <v>12184.615384615383</v>
      </c>
      <c r="R9" s="68"/>
      <c r="S9" s="54">
        <f>I9+R9</f>
        <v>0.10344208333333334</v>
      </c>
      <c r="T9" s="76"/>
      <c r="U9" s="54"/>
      <c r="V9" s="62"/>
      <c r="W9" s="62"/>
      <c r="X9" s="69"/>
      <c r="Y9" s="62">
        <v>12000</v>
      </c>
      <c r="Z9" s="62"/>
    </row>
    <row r="10" spans="1:26" s="67" customFormat="1" ht="26.25" customHeight="1">
      <c r="A10" s="62">
        <v>9</v>
      </c>
      <c r="B10" s="63">
        <v>4002</v>
      </c>
      <c r="C10" s="62">
        <v>8</v>
      </c>
      <c r="D10" s="62">
        <v>50</v>
      </c>
      <c r="E10" s="62">
        <v>22</v>
      </c>
      <c r="F10" s="62">
        <v>2602</v>
      </c>
      <c r="G10" s="62" t="s">
        <v>152</v>
      </c>
      <c r="H10" s="63" t="s">
        <v>151</v>
      </c>
      <c r="I10" s="64">
        <f>(50.7/3600*E10/C10)*1.13</f>
        <v>4.3763958333333332E-2</v>
      </c>
      <c r="J10" s="65">
        <v>7.0000000000000007E-2</v>
      </c>
      <c r="K10" s="65">
        <v>1.9</v>
      </c>
      <c r="L10" s="66" t="s">
        <v>150</v>
      </c>
      <c r="M10" s="62"/>
      <c r="N10" s="62">
        <v>1</v>
      </c>
      <c r="O10" s="62">
        <v>1</v>
      </c>
      <c r="P10" s="62">
        <f t="shared" si="2"/>
        <v>0</v>
      </c>
      <c r="Q10" s="67">
        <v>28800</v>
      </c>
      <c r="R10" s="68"/>
      <c r="S10" s="54">
        <f t="shared" si="0"/>
        <v>4.3763958333333332E-2</v>
      </c>
      <c r="T10" s="76"/>
      <c r="U10" s="54"/>
      <c r="V10" s="62"/>
      <c r="W10" s="62"/>
      <c r="X10" s="69"/>
      <c r="Y10" s="62">
        <v>12000</v>
      </c>
      <c r="Z10" s="62"/>
    </row>
    <row r="11" spans="1:26" ht="26.25" customHeight="1">
      <c r="A11" s="30">
        <v>10</v>
      </c>
      <c r="B11" s="29">
        <v>3332</v>
      </c>
      <c r="C11" s="30">
        <v>4</v>
      </c>
      <c r="D11" s="30">
        <v>200</v>
      </c>
      <c r="E11" s="30">
        <v>30</v>
      </c>
      <c r="F11" s="30" t="s">
        <v>97</v>
      </c>
      <c r="G11" s="1" t="s">
        <v>26</v>
      </c>
      <c r="H11" s="15" t="s">
        <v>98</v>
      </c>
      <c r="I11" s="39">
        <f>(72.8/3600*E11/C11)*1.13</f>
        <v>0.17138333333333333</v>
      </c>
      <c r="J11" s="13">
        <v>13.1</v>
      </c>
      <c r="K11" s="13">
        <v>4.05</v>
      </c>
      <c r="L11" s="5" t="s">
        <v>99</v>
      </c>
      <c r="M11" s="30"/>
      <c r="N11" s="30">
        <v>1</v>
      </c>
      <c r="O11" s="30">
        <v>1</v>
      </c>
      <c r="P11" s="30">
        <f t="shared" si="2"/>
        <v>0</v>
      </c>
      <c r="Q11" s="17">
        <v>10560</v>
      </c>
      <c r="R11" s="57"/>
      <c r="S11" s="54">
        <f t="shared" si="0"/>
        <v>0.17138333333333333</v>
      </c>
      <c r="T11" s="60"/>
      <c r="U11" s="49"/>
      <c r="V11" s="10"/>
      <c r="W11" s="30"/>
      <c r="X11" s="18"/>
      <c r="Y11" s="30">
        <v>22000</v>
      </c>
      <c r="Z11" s="30"/>
    </row>
    <row r="12" spans="1:26" ht="26.25" customHeight="1">
      <c r="A12" s="30">
        <v>11</v>
      </c>
      <c r="B12" s="29">
        <v>3331</v>
      </c>
      <c r="C12" s="10">
        <v>2</v>
      </c>
      <c r="D12" s="10">
        <v>150</v>
      </c>
      <c r="E12" s="10">
        <v>24</v>
      </c>
      <c r="F12" s="12" t="s">
        <v>24</v>
      </c>
      <c r="G12" s="12" t="s">
        <v>33</v>
      </c>
      <c r="H12" s="12" t="s">
        <v>34</v>
      </c>
      <c r="I12" s="39">
        <f>(68.4/3600*E12/C12)*1.13</f>
        <v>0.25764000000000004</v>
      </c>
      <c r="J12" s="13">
        <v>7.24</v>
      </c>
      <c r="K12" s="13">
        <v>1.35</v>
      </c>
      <c r="L12" s="10" t="s">
        <v>25</v>
      </c>
      <c r="M12" s="30"/>
      <c r="N12" s="30">
        <v>1</v>
      </c>
      <c r="O12" s="30">
        <v>2</v>
      </c>
      <c r="P12" s="30">
        <f t="shared" si="2"/>
        <v>1</v>
      </c>
      <c r="Q12" s="17">
        <v>6600</v>
      </c>
      <c r="R12" s="57">
        <f t="shared" si="1"/>
        <v>5.4545454545454543E-2</v>
      </c>
      <c r="S12" s="54">
        <f t="shared" si="0"/>
        <v>0.3121854545454546</v>
      </c>
      <c r="T12" s="60"/>
      <c r="U12" s="49"/>
      <c r="V12" s="10"/>
      <c r="W12" s="30"/>
      <c r="X12" s="18"/>
      <c r="Y12" s="30">
        <v>22000</v>
      </c>
      <c r="Z12" s="30"/>
    </row>
    <row r="13" spans="1:26" ht="26.25" customHeight="1">
      <c r="A13" s="30">
        <v>12</v>
      </c>
      <c r="B13" s="29">
        <v>3791</v>
      </c>
      <c r="C13" s="30">
        <v>4</v>
      </c>
      <c r="D13" s="30">
        <v>125</v>
      </c>
      <c r="E13" s="30">
        <v>20</v>
      </c>
      <c r="F13" s="30" t="s">
        <v>90</v>
      </c>
      <c r="G13" s="1" t="s">
        <v>91</v>
      </c>
      <c r="H13" s="15" t="s">
        <v>132</v>
      </c>
      <c r="I13" s="39">
        <f>(57.3/3600*E13/C13)*1.13</f>
        <v>8.9929166666666643E-2</v>
      </c>
      <c r="J13" s="13">
        <v>7.7</v>
      </c>
      <c r="K13" s="13">
        <v>1.68</v>
      </c>
      <c r="L13" s="1" t="s">
        <v>89</v>
      </c>
      <c r="M13" s="22" t="s">
        <v>113</v>
      </c>
      <c r="N13" s="30">
        <v>1</v>
      </c>
      <c r="O13" s="30">
        <v>2</v>
      </c>
      <c r="P13" s="30">
        <f t="shared" si="2"/>
        <v>1</v>
      </c>
      <c r="Q13" s="17">
        <v>15840</v>
      </c>
      <c r="R13" s="57">
        <f t="shared" si="1"/>
        <v>2.2727272727272728E-2</v>
      </c>
      <c r="S13" s="54">
        <f t="shared" si="0"/>
        <v>0.11265643939393938</v>
      </c>
      <c r="T13" s="60"/>
      <c r="U13" s="49"/>
      <c r="V13" s="10" t="s">
        <v>158</v>
      </c>
      <c r="W13" s="30" t="s">
        <v>92</v>
      </c>
      <c r="X13" s="18"/>
      <c r="Y13" s="30">
        <v>0</v>
      </c>
      <c r="Z13" s="30"/>
    </row>
    <row r="14" spans="1:26" s="47" customFormat="1" ht="26.25" customHeight="1">
      <c r="A14" s="40">
        <v>13</v>
      </c>
      <c r="B14" s="41">
        <v>1163</v>
      </c>
      <c r="C14" s="40">
        <v>4</v>
      </c>
      <c r="D14" s="40">
        <v>200</v>
      </c>
      <c r="E14" s="40">
        <v>35</v>
      </c>
      <c r="F14" s="40" t="s">
        <v>134</v>
      </c>
      <c r="G14" s="40" t="s">
        <v>135</v>
      </c>
      <c r="H14" s="42" t="s">
        <v>136</v>
      </c>
      <c r="I14" s="43">
        <f>(67.6/3600*E14/C14)*1.13</f>
        <v>0.18566527777777775</v>
      </c>
      <c r="J14" s="44">
        <v>16.93</v>
      </c>
      <c r="K14" s="44">
        <v>6.2</v>
      </c>
      <c r="L14" s="45" t="s">
        <v>137</v>
      </c>
      <c r="M14" s="40"/>
      <c r="N14" s="40">
        <v>1</v>
      </c>
      <c r="O14" s="40">
        <v>1</v>
      </c>
      <c r="P14" s="30">
        <f t="shared" si="2"/>
        <v>0</v>
      </c>
      <c r="Q14" s="17">
        <v>9051.4285714285725</v>
      </c>
      <c r="R14" s="57"/>
      <c r="S14" s="54">
        <f t="shared" si="0"/>
        <v>0.18566527777777775</v>
      </c>
      <c r="T14" s="60"/>
      <c r="U14" s="49"/>
      <c r="V14" s="40"/>
      <c r="W14" s="40"/>
      <c r="X14" s="46"/>
      <c r="Y14" s="40">
        <v>9600</v>
      </c>
      <c r="Z14" s="40"/>
    </row>
    <row r="15" spans="1:26" s="47" customFormat="1" ht="26.25" customHeight="1">
      <c r="A15" s="40">
        <v>14</v>
      </c>
      <c r="B15" s="41">
        <v>1164</v>
      </c>
      <c r="C15" s="40">
        <v>2</v>
      </c>
      <c r="D15" s="40">
        <v>200</v>
      </c>
      <c r="E15" s="40">
        <v>28</v>
      </c>
      <c r="F15" s="40" t="s">
        <v>134</v>
      </c>
      <c r="G15" s="40" t="s">
        <v>28</v>
      </c>
      <c r="H15" s="42" t="s">
        <v>138</v>
      </c>
      <c r="I15" s="43">
        <f>(67.6/3600*E15/C15)*1.13</f>
        <v>0.29706444444444435</v>
      </c>
      <c r="J15" s="44">
        <v>20.45</v>
      </c>
      <c r="K15" s="44">
        <v>6.64</v>
      </c>
      <c r="L15" s="45" t="s">
        <v>137</v>
      </c>
      <c r="M15" s="40"/>
      <c r="N15" s="40">
        <v>1</v>
      </c>
      <c r="O15" s="40">
        <v>2</v>
      </c>
      <c r="P15" s="30">
        <f t="shared" si="2"/>
        <v>1</v>
      </c>
      <c r="Q15" s="17">
        <v>5657.1428571428578</v>
      </c>
      <c r="R15" s="57">
        <f t="shared" si="1"/>
        <v>6.363636363636363E-2</v>
      </c>
      <c r="S15" s="54">
        <f t="shared" si="0"/>
        <v>0.36070080808080796</v>
      </c>
      <c r="T15" s="60"/>
      <c r="U15" s="49"/>
      <c r="V15" s="40"/>
      <c r="W15" s="40"/>
      <c r="X15" s="46"/>
      <c r="Y15" s="40">
        <v>9600</v>
      </c>
      <c r="Z15" s="40"/>
    </row>
    <row r="16" spans="1:26" s="67" customFormat="1" ht="31.15" customHeight="1">
      <c r="A16" s="62">
        <v>15</v>
      </c>
      <c r="B16" s="63">
        <v>2438</v>
      </c>
      <c r="C16" s="70">
        <v>2</v>
      </c>
      <c r="D16" s="70">
        <v>150</v>
      </c>
      <c r="E16" s="70">
        <v>33</v>
      </c>
      <c r="F16" s="70" t="s">
        <v>29</v>
      </c>
      <c r="G16" s="70" t="s">
        <v>30</v>
      </c>
      <c r="H16" s="70" t="s">
        <v>31</v>
      </c>
      <c r="I16" s="64">
        <f>(62/3600*E16/C16)*1.13</f>
        <v>0.32110833333333333</v>
      </c>
      <c r="J16" s="65">
        <v>12.48</v>
      </c>
      <c r="K16" s="65">
        <v>1.51</v>
      </c>
      <c r="L16" s="70" t="s">
        <v>32</v>
      </c>
      <c r="M16" s="70"/>
      <c r="N16" s="70">
        <v>1</v>
      </c>
      <c r="O16" s="70">
        <v>2</v>
      </c>
      <c r="P16" s="62">
        <f t="shared" si="2"/>
        <v>1</v>
      </c>
      <c r="Q16" s="67">
        <v>4800</v>
      </c>
      <c r="R16" s="68">
        <f t="shared" si="1"/>
        <v>7.4999999999999997E-2</v>
      </c>
      <c r="S16" s="54">
        <f>I16+R16</f>
        <v>0.39610833333333334</v>
      </c>
      <c r="T16" s="71" t="s">
        <v>183</v>
      </c>
      <c r="U16" s="54"/>
      <c r="V16" s="62"/>
      <c r="W16" s="62"/>
      <c r="X16" s="69"/>
      <c r="Y16" s="62">
        <v>9600</v>
      </c>
      <c r="Z16" s="62"/>
    </row>
    <row r="17" spans="1:26" ht="26.25" customHeight="1">
      <c r="A17" s="30">
        <v>16</v>
      </c>
      <c r="B17" s="59">
        <v>3056</v>
      </c>
      <c r="C17" s="30">
        <v>4</v>
      </c>
      <c r="D17" s="30">
        <v>200</v>
      </c>
      <c r="E17" s="30">
        <v>26</v>
      </c>
      <c r="F17" s="30" t="s">
        <v>94</v>
      </c>
      <c r="G17" s="1" t="s">
        <v>28</v>
      </c>
      <c r="H17" s="15" t="s">
        <v>167</v>
      </c>
      <c r="I17" s="39">
        <f>(72.8/3600*E17/C17)*1.13</f>
        <v>0.1485322222222222</v>
      </c>
      <c r="J17" s="13">
        <v>20.16</v>
      </c>
      <c r="K17" s="13">
        <v>4.1500000000000004</v>
      </c>
      <c r="L17" s="5" t="s">
        <v>95</v>
      </c>
      <c r="M17" s="30" t="s">
        <v>96</v>
      </c>
      <c r="N17" s="30">
        <v>2</v>
      </c>
      <c r="O17" s="30">
        <v>2</v>
      </c>
      <c r="P17" s="30">
        <f t="shared" si="2"/>
        <v>1</v>
      </c>
      <c r="Q17" s="17">
        <v>12184.615384615383</v>
      </c>
      <c r="R17" s="57">
        <f t="shared" si="1"/>
        <v>2.9545454545454548E-2</v>
      </c>
      <c r="S17" s="54">
        <f t="shared" si="0"/>
        <v>0.17807767676767675</v>
      </c>
      <c r="T17" s="61"/>
      <c r="U17" s="49" t="s">
        <v>174</v>
      </c>
      <c r="V17" s="10"/>
      <c r="W17" s="30"/>
      <c r="X17" s="18"/>
      <c r="Y17" s="30">
        <v>80000</v>
      </c>
      <c r="Z17" s="30"/>
    </row>
    <row r="18" spans="1:26" ht="29.45" customHeight="1">
      <c r="A18" s="81">
        <v>17</v>
      </c>
      <c r="B18" s="86">
        <v>2556</v>
      </c>
      <c r="C18" s="81">
        <v>4</v>
      </c>
      <c r="D18" s="81">
        <v>50</v>
      </c>
      <c r="E18" s="81">
        <v>20</v>
      </c>
      <c r="F18" s="81" t="s">
        <v>18</v>
      </c>
      <c r="G18" s="84" t="s">
        <v>21</v>
      </c>
      <c r="H18" s="15" t="s">
        <v>163</v>
      </c>
      <c r="I18" s="39">
        <f>(46.3/3600*E18/C18)*1.13</f>
        <v>7.2665277777777759E-2</v>
      </c>
      <c r="J18" s="13">
        <v>0.1</v>
      </c>
      <c r="K18" s="13">
        <v>0.27</v>
      </c>
      <c r="L18" s="1" t="s">
        <v>74</v>
      </c>
      <c r="M18" s="30" t="s">
        <v>22</v>
      </c>
      <c r="N18" s="30">
        <v>1</v>
      </c>
      <c r="O18" s="30">
        <v>1</v>
      </c>
      <c r="P18" s="30">
        <f t="shared" si="2"/>
        <v>0</v>
      </c>
      <c r="Q18" s="17">
        <v>15840</v>
      </c>
      <c r="R18" s="57"/>
      <c r="S18" s="54">
        <f t="shared" si="0"/>
        <v>7.2665277777777759E-2</v>
      </c>
      <c r="T18" s="54" t="s">
        <v>179</v>
      </c>
      <c r="U18" s="49"/>
      <c r="V18" s="10"/>
      <c r="W18" s="30"/>
      <c r="X18" s="18"/>
      <c r="Y18" s="30">
        <v>70000</v>
      </c>
      <c r="Z18" s="55" t="s">
        <v>179</v>
      </c>
    </row>
    <row r="19" spans="1:26" ht="18.75" customHeight="1">
      <c r="A19" s="83"/>
      <c r="B19" s="87"/>
      <c r="C19" s="83"/>
      <c r="D19" s="83"/>
      <c r="E19" s="83"/>
      <c r="F19" s="83"/>
      <c r="G19" s="85"/>
      <c r="H19" s="15" t="s">
        <v>164</v>
      </c>
      <c r="I19" s="39">
        <f>(46.3/3600*E18/C18)*1.13</f>
        <v>7.2665277777777759E-2</v>
      </c>
      <c r="J19" s="13"/>
      <c r="K19" s="13"/>
      <c r="L19" s="1"/>
      <c r="M19" s="30"/>
      <c r="N19" s="30"/>
      <c r="O19" s="30"/>
      <c r="P19" s="30"/>
      <c r="R19" s="57"/>
      <c r="S19" s="54"/>
      <c r="T19" s="49"/>
      <c r="U19" s="49"/>
      <c r="V19" s="10"/>
      <c r="W19" s="30"/>
      <c r="X19" s="18"/>
      <c r="Y19" s="30"/>
      <c r="Z19" s="30"/>
    </row>
    <row r="20" spans="1:26" ht="26.45" customHeight="1">
      <c r="A20" s="81">
        <v>18</v>
      </c>
      <c r="B20" s="81">
        <v>2557</v>
      </c>
      <c r="C20" s="81">
        <v>4</v>
      </c>
      <c r="D20" s="81">
        <v>50</v>
      </c>
      <c r="E20" s="81">
        <v>24</v>
      </c>
      <c r="F20" s="81" t="s">
        <v>18</v>
      </c>
      <c r="G20" s="81" t="s">
        <v>19</v>
      </c>
      <c r="H20" s="15" t="s">
        <v>165</v>
      </c>
      <c r="I20" s="39">
        <f>(46.3/3600*E20/C20)*1.13</f>
        <v>8.7198333333333322E-2</v>
      </c>
      <c r="J20" s="13">
        <v>0.4</v>
      </c>
      <c r="K20" s="13">
        <v>0.6</v>
      </c>
      <c r="L20" s="1" t="s">
        <v>74</v>
      </c>
      <c r="M20" s="30" t="s">
        <v>20</v>
      </c>
      <c r="N20" s="30">
        <v>1</v>
      </c>
      <c r="O20" s="30">
        <v>1</v>
      </c>
      <c r="P20" s="30">
        <f t="shared" si="2"/>
        <v>0</v>
      </c>
      <c r="Q20" s="17">
        <v>13200</v>
      </c>
      <c r="R20" s="57"/>
      <c r="S20" s="54">
        <f>I20+R20</f>
        <v>8.7198333333333322E-2</v>
      </c>
      <c r="T20" s="54" t="s">
        <v>179</v>
      </c>
      <c r="U20" s="49"/>
      <c r="V20" s="10"/>
      <c r="W20" s="30"/>
      <c r="X20" s="18"/>
      <c r="Y20" s="30">
        <v>70000</v>
      </c>
      <c r="Z20" s="55" t="s">
        <v>178</v>
      </c>
    </row>
    <row r="21" spans="1:26" ht="18.75" customHeight="1">
      <c r="A21" s="83"/>
      <c r="B21" s="83"/>
      <c r="C21" s="83"/>
      <c r="D21" s="83"/>
      <c r="E21" s="83"/>
      <c r="F21" s="83"/>
      <c r="G21" s="83"/>
      <c r="H21" s="15" t="s">
        <v>166</v>
      </c>
      <c r="I21" s="39">
        <f>(46.3/3600*E20/C20)*1.13</f>
        <v>8.7198333333333322E-2</v>
      </c>
      <c r="J21" s="13"/>
      <c r="K21" s="13"/>
      <c r="L21" s="1"/>
      <c r="M21" s="30"/>
      <c r="N21" s="30"/>
      <c r="O21" s="30"/>
      <c r="P21" s="30"/>
      <c r="R21" s="57"/>
      <c r="S21" s="54"/>
      <c r="T21" s="49"/>
      <c r="U21" s="49"/>
      <c r="V21" s="10"/>
      <c r="W21" s="30"/>
      <c r="X21" s="18"/>
      <c r="Y21" s="30"/>
      <c r="Z21" s="30"/>
    </row>
    <row r="22" spans="1:26" ht="24.6" customHeight="1">
      <c r="A22" s="30">
        <v>19</v>
      </c>
      <c r="B22" s="29">
        <v>3355</v>
      </c>
      <c r="C22" s="30">
        <v>8</v>
      </c>
      <c r="D22" s="30">
        <v>80</v>
      </c>
      <c r="E22" s="30">
        <v>23</v>
      </c>
      <c r="F22" s="30" t="s">
        <v>156</v>
      </c>
      <c r="G22" s="30" t="s">
        <v>154</v>
      </c>
      <c r="H22" s="23" t="s">
        <v>153</v>
      </c>
      <c r="I22" s="39">
        <f>(46.3/3600*E22/C22)*1.13</f>
        <v>4.1782534722222216E-2</v>
      </c>
      <c r="J22" s="13">
        <v>0.17</v>
      </c>
      <c r="K22" s="13">
        <v>0.26500000000000001</v>
      </c>
      <c r="L22" s="5" t="s">
        <v>155</v>
      </c>
      <c r="M22" s="30"/>
      <c r="N22" s="30">
        <v>1</v>
      </c>
      <c r="O22" s="30">
        <v>1</v>
      </c>
      <c r="P22" s="30">
        <f t="shared" si="2"/>
        <v>0</v>
      </c>
      <c r="Q22" s="17">
        <v>27547.82608695652</v>
      </c>
      <c r="R22" s="57"/>
      <c r="S22" s="54">
        <f t="shared" ref="S22:S30" si="3">I22+R22</f>
        <v>4.1782534722222216E-2</v>
      </c>
      <c r="T22" s="58"/>
      <c r="U22" s="49"/>
      <c r="V22" s="30"/>
      <c r="W22" s="30"/>
      <c r="X22" s="18"/>
      <c r="Y22" s="30">
        <v>12800</v>
      </c>
      <c r="Z22" s="30"/>
    </row>
    <row r="23" spans="1:26" ht="18" customHeight="1">
      <c r="A23" s="30">
        <v>20</v>
      </c>
      <c r="B23" s="29">
        <v>3383</v>
      </c>
      <c r="C23" s="30">
        <v>4</v>
      </c>
      <c r="D23" s="30">
        <v>200</v>
      </c>
      <c r="E23" s="30">
        <v>28</v>
      </c>
      <c r="F23" s="30" t="s">
        <v>100</v>
      </c>
      <c r="G23" s="30" t="s">
        <v>103</v>
      </c>
      <c r="H23" s="29" t="s">
        <v>168</v>
      </c>
      <c r="I23" s="39">
        <f t="shared" ref="I23:I29" si="4">(72.8/3600*E23/C23)*1.13</f>
        <v>0.15995777777777775</v>
      </c>
      <c r="J23" s="13">
        <v>11.01</v>
      </c>
      <c r="K23" s="13">
        <v>5.03</v>
      </c>
      <c r="L23" s="5" t="s">
        <v>99</v>
      </c>
      <c r="M23" s="30"/>
      <c r="N23" s="30">
        <v>1</v>
      </c>
      <c r="O23" s="30">
        <v>2</v>
      </c>
      <c r="P23" s="30">
        <f t="shared" si="2"/>
        <v>1</v>
      </c>
      <c r="Q23" s="17">
        <v>11314.285714285716</v>
      </c>
      <c r="R23" s="57">
        <f t="shared" si="1"/>
        <v>3.1818181818181815E-2</v>
      </c>
      <c r="S23" s="54">
        <f t="shared" si="3"/>
        <v>0.19177595959595956</v>
      </c>
      <c r="T23" s="49"/>
      <c r="U23" s="49"/>
      <c r="V23" s="10"/>
      <c r="W23" s="30"/>
      <c r="X23" s="18"/>
      <c r="Y23" s="81">
        <v>12000</v>
      </c>
      <c r="Z23" s="30"/>
    </row>
    <row r="24" spans="1:26" ht="18" customHeight="1">
      <c r="A24" s="30">
        <v>21</v>
      </c>
      <c r="B24" s="29">
        <v>3383</v>
      </c>
      <c r="C24" s="30">
        <v>4</v>
      </c>
      <c r="D24" s="30">
        <v>200</v>
      </c>
      <c r="E24" s="30">
        <v>28</v>
      </c>
      <c r="F24" s="30" t="s">
        <v>100</v>
      </c>
      <c r="G24" s="30" t="s">
        <v>103</v>
      </c>
      <c r="H24" s="29" t="s">
        <v>107</v>
      </c>
      <c r="I24" s="39">
        <f t="shared" si="4"/>
        <v>0.15995777777777775</v>
      </c>
      <c r="J24" s="13">
        <v>11.01</v>
      </c>
      <c r="K24" s="13">
        <v>5.03</v>
      </c>
      <c r="L24" s="5" t="s">
        <v>101</v>
      </c>
      <c r="M24" s="30"/>
      <c r="N24" s="30">
        <v>1</v>
      </c>
      <c r="O24" s="30">
        <v>2</v>
      </c>
      <c r="P24" s="30">
        <f t="shared" si="2"/>
        <v>1</v>
      </c>
      <c r="Q24" s="17">
        <v>11314.285714285716</v>
      </c>
      <c r="R24" s="57">
        <f t="shared" si="1"/>
        <v>3.1818181818181815E-2</v>
      </c>
      <c r="S24" s="54">
        <f t="shared" si="3"/>
        <v>0.19177595959595956</v>
      </c>
      <c r="T24" s="49"/>
      <c r="U24" s="49"/>
      <c r="V24" s="10"/>
      <c r="W24" s="30"/>
      <c r="X24" s="18"/>
      <c r="Y24" s="82"/>
      <c r="Z24" s="30"/>
    </row>
    <row r="25" spans="1:26" ht="18" customHeight="1">
      <c r="A25" s="30">
        <v>22</v>
      </c>
      <c r="B25" s="29">
        <v>3383</v>
      </c>
      <c r="C25" s="30">
        <v>4</v>
      </c>
      <c r="D25" s="30">
        <v>200</v>
      </c>
      <c r="E25" s="30">
        <v>28</v>
      </c>
      <c r="F25" s="30" t="s">
        <v>100</v>
      </c>
      <c r="G25" s="30" t="s">
        <v>103</v>
      </c>
      <c r="H25" s="29" t="s">
        <v>106</v>
      </c>
      <c r="I25" s="39">
        <f t="shared" si="4"/>
        <v>0.15995777777777775</v>
      </c>
      <c r="J25" s="13">
        <v>11.01</v>
      </c>
      <c r="K25" s="13">
        <v>5.03</v>
      </c>
      <c r="L25" s="5" t="s">
        <v>108</v>
      </c>
      <c r="M25" s="30"/>
      <c r="N25" s="30">
        <v>1</v>
      </c>
      <c r="O25" s="30">
        <v>2</v>
      </c>
      <c r="P25" s="30">
        <f t="shared" si="2"/>
        <v>1</v>
      </c>
      <c r="Q25" s="17">
        <v>11314.285714285716</v>
      </c>
      <c r="R25" s="57">
        <f t="shared" si="1"/>
        <v>3.1818181818181815E-2</v>
      </c>
      <c r="S25" s="54">
        <f t="shared" si="3"/>
        <v>0.19177595959595956</v>
      </c>
      <c r="T25" s="49"/>
      <c r="U25" s="49"/>
      <c r="V25" s="10"/>
      <c r="W25" s="30"/>
      <c r="X25" s="18"/>
      <c r="Y25" s="82"/>
      <c r="Z25" s="30"/>
    </row>
    <row r="26" spans="1:26" ht="18" customHeight="1">
      <c r="A26" s="30">
        <v>23</v>
      </c>
      <c r="B26" s="29">
        <v>3383</v>
      </c>
      <c r="C26" s="30">
        <v>4</v>
      </c>
      <c r="D26" s="30">
        <v>200</v>
      </c>
      <c r="E26" s="30">
        <v>28</v>
      </c>
      <c r="F26" s="30" t="s">
        <v>100</v>
      </c>
      <c r="G26" s="30" t="s">
        <v>103</v>
      </c>
      <c r="H26" s="29" t="s">
        <v>109</v>
      </c>
      <c r="I26" s="39">
        <f t="shared" si="4"/>
        <v>0.15995777777777775</v>
      </c>
      <c r="J26" s="13">
        <v>11.01</v>
      </c>
      <c r="K26" s="13">
        <v>5.03</v>
      </c>
      <c r="L26" s="5" t="s">
        <v>110</v>
      </c>
      <c r="M26" s="30"/>
      <c r="N26" s="30">
        <v>1</v>
      </c>
      <c r="O26" s="30">
        <v>2</v>
      </c>
      <c r="P26" s="30">
        <f t="shared" si="2"/>
        <v>1</v>
      </c>
      <c r="Q26" s="17">
        <v>11314.285714285716</v>
      </c>
      <c r="R26" s="57">
        <f t="shared" si="1"/>
        <v>3.1818181818181815E-2</v>
      </c>
      <c r="S26" s="54">
        <f t="shared" si="3"/>
        <v>0.19177595959595956</v>
      </c>
      <c r="T26" s="49"/>
      <c r="U26" s="49"/>
      <c r="V26" s="10"/>
      <c r="W26" s="30"/>
      <c r="X26" s="18"/>
      <c r="Y26" s="82"/>
      <c r="Z26" s="30"/>
    </row>
    <row r="27" spans="1:26" ht="18" customHeight="1">
      <c r="A27" s="30">
        <v>24</v>
      </c>
      <c r="B27" s="29">
        <v>3383</v>
      </c>
      <c r="C27" s="30">
        <v>4</v>
      </c>
      <c r="D27" s="30">
        <v>200</v>
      </c>
      <c r="E27" s="30">
        <v>28</v>
      </c>
      <c r="F27" s="30" t="s">
        <v>100</v>
      </c>
      <c r="G27" s="30" t="s">
        <v>104</v>
      </c>
      <c r="H27" s="29" t="s">
        <v>105</v>
      </c>
      <c r="I27" s="39">
        <f t="shared" si="4"/>
        <v>0.15995777777777775</v>
      </c>
      <c r="J27" s="13">
        <v>11.01</v>
      </c>
      <c r="K27" s="13">
        <v>5.03</v>
      </c>
      <c r="L27" s="5" t="s">
        <v>102</v>
      </c>
      <c r="M27" s="30"/>
      <c r="N27" s="30">
        <v>1</v>
      </c>
      <c r="O27" s="30">
        <v>2</v>
      </c>
      <c r="P27" s="30">
        <f t="shared" si="2"/>
        <v>1</v>
      </c>
      <c r="Q27" s="17">
        <v>11314.285714285716</v>
      </c>
      <c r="R27" s="57">
        <f t="shared" si="1"/>
        <v>3.1818181818181815E-2</v>
      </c>
      <c r="S27" s="54">
        <f t="shared" si="3"/>
        <v>0.19177595959595956</v>
      </c>
      <c r="T27" s="49"/>
      <c r="U27" s="49"/>
      <c r="V27" s="10"/>
      <c r="W27" s="30"/>
      <c r="X27" s="18"/>
      <c r="Y27" s="83"/>
      <c r="Z27" s="30"/>
    </row>
    <row r="28" spans="1:26" ht="18" customHeight="1">
      <c r="A28" s="30">
        <v>25</v>
      </c>
      <c r="B28" s="10" t="s">
        <v>38</v>
      </c>
      <c r="C28" s="31">
        <v>2</v>
      </c>
      <c r="D28" s="31">
        <v>200</v>
      </c>
      <c r="E28" s="31">
        <v>42</v>
      </c>
      <c r="F28" s="31" t="s">
        <v>37</v>
      </c>
      <c r="G28" s="31" t="s">
        <v>39</v>
      </c>
      <c r="H28" s="10" t="s">
        <v>40</v>
      </c>
      <c r="I28" s="39">
        <f t="shared" si="4"/>
        <v>0.47987333333333326</v>
      </c>
      <c r="J28" s="13" t="s">
        <v>41</v>
      </c>
      <c r="K28" s="13">
        <v>7.45</v>
      </c>
      <c r="L28" s="31" t="s">
        <v>42</v>
      </c>
      <c r="M28" s="31" t="s">
        <v>43</v>
      </c>
      <c r="N28" s="31">
        <v>1</v>
      </c>
      <c r="O28" s="31">
        <v>2</v>
      </c>
      <c r="P28" s="30">
        <f t="shared" si="2"/>
        <v>1</v>
      </c>
      <c r="Q28" s="17">
        <v>3771.4285714285711</v>
      </c>
      <c r="R28" s="57">
        <f t="shared" si="1"/>
        <v>9.5454545454545459E-2</v>
      </c>
      <c r="S28" s="54">
        <f t="shared" si="3"/>
        <v>0.57532787878787872</v>
      </c>
      <c r="T28" s="49"/>
      <c r="U28" s="49"/>
      <c r="V28" s="33"/>
      <c r="W28" s="31" t="s">
        <v>44</v>
      </c>
      <c r="X28" s="18"/>
      <c r="Y28" s="30">
        <v>12000</v>
      </c>
      <c r="Z28" s="30"/>
    </row>
    <row r="29" spans="1:26" ht="18" customHeight="1">
      <c r="A29" s="30">
        <v>26</v>
      </c>
      <c r="B29" s="10" t="s">
        <v>38</v>
      </c>
      <c r="C29" s="31">
        <v>2</v>
      </c>
      <c r="D29" s="31">
        <v>200</v>
      </c>
      <c r="E29" s="31">
        <v>42</v>
      </c>
      <c r="F29" s="31" t="s">
        <v>37</v>
      </c>
      <c r="G29" s="31" t="s">
        <v>39</v>
      </c>
      <c r="H29" s="10" t="s">
        <v>169</v>
      </c>
      <c r="I29" s="39">
        <f t="shared" si="4"/>
        <v>0.47987333333333326</v>
      </c>
      <c r="J29" s="13" t="s">
        <v>41</v>
      </c>
      <c r="K29" s="13">
        <v>7.45</v>
      </c>
      <c r="L29" s="31" t="s">
        <v>45</v>
      </c>
      <c r="M29" s="31" t="s">
        <v>43</v>
      </c>
      <c r="N29" s="31">
        <v>1</v>
      </c>
      <c r="O29" s="31">
        <v>2</v>
      </c>
      <c r="P29" s="30">
        <f t="shared" si="2"/>
        <v>1</v>
      </c>
      <c r="Q29" s="17">
        <v>3771.4285714285711</v>
      </c>
      <c r="R29" s="57">
        <f t="shared" si="1"/>
        <v>9.5454545454545459E-2</v>
      </c>
      <c r="S29" s="54">
        <f t="shared" si="3"/>
        <v>0.57532787878787872</v>
      </c>
      <c r="T29" s="49"/>
      <c r="U29" s="49"/>
      <c r="V29" s="33"/>
      <c r="W29" s="31" t="s">
        <v>44</v>
      </c>
      <c r="X29" s="18"/>
      <c r="Y29" s="30">
        <v>12000</v>
      </c>
      <c r="Z29" s="30"/>
    </row>
    <row r="30" spans="1:26" ht="18" customHeight="1">
      <c r="A30" s="30">
        <v>27</v>
      </c>
      <c r="B30" s="59">
        <v>1639</v>
      </c>
      <c r="C30" s="7" t="s">
        <v>73</v>
      </c>
      <c r="D30" s="7" t="s">
        <v>82</v>
      </c>
      <c r="E30" s="7" t="s">
        <v>83</v>
      </c>
      <c r="F30" s="52" t="s">
        <v>75</v>
      </c>
      <c r="G30" s="7" t="s">
        <v>84</v>
      </c>
      <c r="H30" s="7" t="s">
        <v>85</v>
      </c>
      <c r="I30" s="39">
        <f>(46.3/3600*E30/C30)*1.13</f>
        <v>4.3599166666666661E-2</v>
      </c>
      <c r="J30" s="35" t="s">
        <v>86</v>
      </c>
      <c r="K30" s="35" t="s">
        <v>87</v>
      </c>
      <c r="L30" s="21" t="s">
        <v>88</v>
      </c>
      <c r="M30" s="7"/>
      <c r="N30" s="21">
        <v>1</v>
      </c>
      <c r="O30" s="21">
        <v>1</v>
      </c>
      <c r="P30" s="30">
        <f t="shared" si="2"/>
        <v>0</v>
      </c>
      <c r="Q30" s="17">
        <v>26400</v>
      </c>
      <c r="R30" s="57"/>
      <c r="S30" s="54">
        <f t="shared" si="3"/>
        <v>4.3599166666666661E-2</v>
      </c>
      <c r="T30" s="58"/>
      <c r="U30" s="56">
        <v>4.8000000000000001E-2</v>
      </c>
      <c r="V30" s="10"/>
      <c r="W30" s="30"/>
      <c r="X30" s="18"/>
      <c r="Y30" s="30">
        <v>175000</v>
      </c>
      <c r="Z30" s="30"/>
    </row>
    <row r="31" spans="1:26" ht="18" customHeight="1">
      <c r="A31" s="30">
        <v>28</v>
      </c>
      <c r="B31" s="59" t="s">
        <v>128</v>
      </c>
      <c r="C31" s="30">
        <v>4</v>
      </c>
      <c r="D31" s="30">
        <v>150</v>
      </c>
      <c r="E31" s="7" t="s">
        <v>124</v>
      </c>
      <c r="F31" s="52" t="s">
        <v>75</v>
      </c>
      <c r="G31" s="7" t="s">
        <v>23</v>
      </c>
      <c r="H31" s="29" t="s">
        <v>123</v>
      </c>
      <c r="I31" s="39">
        <f>(62/3600*E31/C31)*1.13</f>
        <v>0.11190138888888887</v>
      </c>
      <c r="J31" s="35" t="s">
        <v>77</v>
      </c>
      <c r="K31" s="35" t="s">
        <v>78</v>
      </c>
      <c r="L31" s="21" t="s">
        <v>79</v>
      </c>
      <c r="M31" s="7" t="s">
        <v>81</v>
      </c>
      <c r="N31" s="21">
        <v>2</v>
      </c>
      <c r="O31" s="21">
        <v>3</v>
      </c>
      <c r="P31" s="30">
        <f t="shared" si="2"/>
        <v>2</v>
      </c>
      <c r="Q31" s="17">
        <v>13773.91304347826</v>
      </c>
      <c r="R31" s="57">
        <f t="shared" si="1"/>
        <v>2.6136363636363638E-2</v>
      </c>
      <c r="S31" s="54">
        <f>I31+(R31*2)</f>
        <v>0.16417411616161615</v>
      </c>
      <c r="T31" s="58"/>
      <c r="U31" s="49" t="s">
        <v>175</v>
      </c>
      <c r="V31" s="10" t="s">
        <v>157</v>
      </c>
      <c r="W31" s="30"/>
      <c r="X31" s="18"/>
      <c r="Y31" s="30">
        <v>175000</v>
      </c>
      <c r="Z31" s="30"/>
    </row>
    <row r="32" spans="1:26" ht="18" customHeight="1">
      <c r="A32" s="30">
        <v>29</v>
      </c>
      <c r="B32" s="59" t="s">
        <v>126</v>
      </c>
      <c r="C32" s="30">
        <v>4</v>
      </c>
      <c r="D32" s="30">
        <v>180</v>
      </c>
      <c r="E32" s="7" t="s">
        <v>133</v>
      </c>
      <c r="F32" s="52" t="s">
        <v>75</v>
      </c>
      <c r="G32" s="7" t="s">
        <v>76</v>
      </c>
      <c r="H32" s="7" t="s">
        <v>93</v>
      </c>
      <c r="I32" s="39">
        <f>(64.8/3600*E32/C32)*1.13</f>
        <v>0.11186999999999998</v>
      </c>
      <c r="J32" s="35" t="s">
        <v>80</v>
      </c>
      <c r="K32" s="35"/>
      <c r="L32" s="21" t="s">
        <v>79</v>
      </c>
      <c r="M32" s="7" t="s">
        <v>125</v>
      </c>
      <c r="N32" s="21">
        <v>1</v>
      </c>
      <c r="O32" s="21">
        <v>1</v>
      </c>
      <c r="P32" s="30">
        <f t="shared" si="2"/>
        <v>0</v>
      </c>
      <c r="Q32" s="17">
        <v>14400</v>
      </c>
      <c r="R32" s="57"/>
      <c r="S32" s="54">
        <f>I32+R32</f>
        <v>0.11186999999999998</v>
      </c>
      <c r="T32" s="58"/>
      <c r="U32" s="56" t="s">
        <v>176</v>
      </c>
      <c r="V32" s="10" t="s">
        <v>157</v>
      </c>
      <c r="W32" s="30"/>
      <c r="X32" s="18"/>
      <c r="Y32" s="30">
        <v>175000</v>
      </c>
      <c r="Z32" s="30" t="s">
        <v>129</v>
      </c>
    </row>
    <row r="33" spans="1:26" ht="18" customHeight="1">
      <c r="A33" s="30">
        <v>30</v>
      </c>
      <c r="B33" s="59" t="s">
        <v>127</v>
      </c>
      <c r="C33" s="30">
        <v>4</v>
      </c>
      <c r="D33" s="30">
        <v>230</v>
      </c>
      <c r="E33" s="30">
        <v>29</v>
      </c>
      <c r="F33" s="52" t="s">
        <v>75</v>
      </c>
      <c r="G33" s="1" t="s">
        <v>28</v>
      </c>
      <c r="H33" s="29" t="s">
        <v>130</v>
      </c>
      <c r="I33" s="39">
        <f>(74.4/3600*E33/C33)*1.13</f>
        <v>0.16931166666666664</v>
      </c>
      <c r="J33" s="13">
        <v>19.18</v>
      </c>
      <c r="K33" s="13"/>
      <c r="L33" s="5" t="s">
        <v>131</v>
      </c>
      <c r="M33" s="30"/>
      <c r="N33" s="30">
        <v>2</v>
      </c>
      <c r="O33" s="30">
        <v>3</v>
      </c>
      <c r="P33" s="30">
        <f t="shared" si="2"/>
        <v>2</v>
      </c>
      <c r="Q33" s="17">
        <v>10924.137931034484</v>
      </c>
      <c r="R33" s="57">
        <f t="shared" si="1"/>
        <v>3.2954545454545452E-2</v>
      </c>
      <c r="S33" s="54">
        <f>I33+(R33*2)</f>
        <v>0.23522075757575756</v>
      </c>
      <c r="T33" s="58"/>
      <c r="U33" s="49" t="s">
        <v>177</v>
      </c>
      <c r="V33" s="10"/>
      <c r="W33" s="30"/>
      <c r="X33" s="18"/>
      <c r="Y33" s="30">
        <v>175000</v>
      </c>
      <c r="Z33" s="30" t="s">
        <v>129</v>
      </c>
    </row>
    <row r="34" spans="1:26" ht="20.25" customHeight="1">
      <c r="A34" s="30">
        <v>31</v>
      </c>
      <c r="B34" s="29">
        <v>3067</v>
      </c>
      <c r="C34" s="30">
        <v>2</v>
      </c>
      <c r="D34" s="30">
        <v>250</v>
      </c>
      <c r="E34" s="30">
        <v>39</v>
      </c>
      <c r="F34" s="30" t="s">
        <v>120</v>
      </c>
      <c r="G34" s="30" t="s">
        <v>35</v>
      </c>
      <c r="H34" s="29" t="s">
        <v>170</v>
      </c>
      <c r="I34" s="39">
        <f>(88.2/3600*E34/C34)*1.13</f>
        <v>0.53985749999999999</v>
      </c>
      <c r="J34" s="13">
        <v>18.440000000000001</v>
      </c>
      <c r="K34" s="13">
        <v>7.85</v>
      </c>
      <c r="L34" s="5" t="s">
        <v>121</v>
      </c>
      <c r="M34" s="30"/>
      <c r="N34" s="30">
        <v>1</v>
      </c>
      <c r="O34" s="30">
        <v>2</v>
      </c>
      <c r="P34" s="30">
        <f t="shared" si="2"/>
        <v>1</v>
      </c>
      <c r="Q34" s="17">
        <v>4061.5384615384614</v>
      </c>
      <c r="R34" s="57">
        <f t="shared" si="1"/>
        <v>8.8636363636363638E-2</v>
      </c>
      <c r="S34" s="54">
        <f t="shared" ref="S34:S40" si="5">I34+R34</f>
        <v>0.62849386363636361</v>
      </c>
      <c r="T34" s="49"/>
      <c r="U34" s="49"/>
      <c r="V34" s="30"/>
      <c r="W34" s="30"/>
      <c r="X34" s="18"/>
      <c r="Y34" s="30">
        <v>4800</v>
      </c>
      <c r="Z34" s="30"/>
    </row>
    <row r="35" spans="1:26" ht="22.15" customHeight="1">
      <c r="A35" s="30">
        <v>32</v>
      </c>
      <c r="B35" s="29">
        <v>3614</v>
      </c>
      <c r="C35" s="3">
        <v>2</v>
      </c>
      <c r="D35" s="5">
        <v>180</v>
      </c>
      <c r="E35" s="4">
        <v>23</v>
      </c>
      <c r="F35" s="2" t="s">
        <v>46</v>
      </c>
      <c r="G35" s="6" t="s">
        <v>65</v>
      </c>
      <c r="H35" s="9" t="s">
        <v>171</v>
      </c>
      <c r="I35" s="39">
        <f>(70.6/3600*E35/C35)*1.13</f>
        <v>0.25484638888888883</v>
      </c>
      <c r="J35" s="36">
        <v>10.69</v>
      </c>
      <c r="K35" s="36">
        <v>13.76</v>
      </c>
      <c r="L35" s="31" t="s">
        <v>49</v>
      </c>
      <c r="M35" s="33" t="s">
        <v>27</v>
      </c>
      <c r="N35" s="31">
        <v>1</v>
      </c>
      <c r="O35" s="31">
        <v>1</v>
      </c>
      <c r="P35" s="30">
        <f t="shared" si="2"/>
        <v>0</v>
      </c>
      <c r="Q35" s="17">
        <v>6886.95652173913</v>
      </c>
      <c r="R35" s="57"/>
      <c r="S35" s="54">
        <f t="shared" si="5"/>
        <v>0.25484638888888883</v>
      </c>
      <c r="T35" s="49"/>
      <c r="U35" s="49"/>
      <c r="V35" s="33"/>
      <c r="W35" s="16" t="s">
        <v>66</v>
      </c>
      <c r="X35" s="18"/>
      <c r="Y35" s="30">
        <v>4800</v>
      </c>
      <c r="Z35" s="30"/>
    </row>
    <row r="36" spans="1:26" ht="20.25" customHeight="1">
      <c r="A36" s="30">
        <v>33</v>
      </c>
      <c r="B36" s="29">
        <v>3615</v>
      </c>
      <c r="C36" s="3">
        <v>4</v>
      </c>
      <c r="D36" s="5">
        <v>50</v>
      </c>
      <c r="E36" s="4">
        <v>16</v>
      </c>
      <c r="F36" s="2" t="s">
        <v>46</v>
      </c>
      <c r="G36" s="6" t="s">
        <v>47</v>
      </c>
      <c r="H36" s="9" t="s">
        <v>48</v>
      </c>
      <c r="I36" s="39">
        <f>(50.7/3600*E36/C36)*1.13</f>
        <v>6.3656666666666667E-2</v>
      </c>
      <c r="J36" s="36">
        <v>0.93</v>
      </c>
      <c r="K36" s="36">
        <v>0.76</v>
      </c>
      <c r="L36" s="31" t="s">
        <v>49</v>
      </c>
      <c r="M36" s="33" t="s">
        <v>50</v>
      </c>
      <c r="N36" s="31">
        <v>1</v>
      </c>
      <c r="O36" s="31">
        <v>1</v>
      </c>
      <c r="P36" s="30">
        <f t="shared" si="2"/>
        <v>0</v>
      </c>
      <c r="Q36" s="17">
        <v>19800</v>
      </c>
      <c r="R36" s="57"/>
      <c r="S36" s="54">
        <f t="shared" si="5"/>
        <v>6.3656666666666667E-2</v>
      </c>
      <c r="T36" s="77" t="s">
        <v>184</v>
      </c>
      <c r="U36" s="49"/>
      <c r="V36" s="33"/>
      <c r="W36" s="33" t="s">
        <v>51</v>
      </c>
      <c r="X36" s="18"/>
      <c r="Y36" s="30">
        <v>4800</v>
      </c>
      <c r="Z36" s="30"/>
    </row>
    <row r="37" spans="1:26" ht="18.600000000000001" customHeight="1">
      <c r="A37" s="30">
        <v>34</v>
      </c>
      <c r="B37" s="29">
        <v>3616</v>
      </c>
      <c r="C37" s="3">
        <v>4</v>
      </c>
      <c r="D37" s="5">
        <v>50</v>
      </c>
      <c r="E37" s="4">
        <v>11</v>
      </c>
      <c r="F37" s="2" t="s">
        <v>46</v>
      </c>
      <c r="G37" s="14" t="s">
        <v>52</v>
      </c>
      <c r="H37" s="9" t="s">
        <v>53</v>
      </c>
      <c r="I37" s="39">
        <f>(50.7/3600*E37/C37)*1.13</f>
        <v>4.3763958333333332E-2</v>
      </c>
      <c r="J37" s="36">
        <v>0.25</v>
      </c>
      <c r="K37" s="36">
        <v>0.44</v>
      </c>
      <c r="L37" s="31" t="s">
        <v>54</v>
      </c>
      <c r="M37" s="33" t="s">
        <v>55</v>
      </c>
      <c r="N37" s="31">
        <v>1</v>
      </c>
      <c r="O37" s="31">
        <v>1</v>
      </c>
      <c r="P37" s="30">
        <f t="shared" si="2"/>
        <v>0</v>
      </c>
      <c r="Q37" s="17">
        <v>28800</v>
      </c>
      <c r="R37" s="57"/>
      <c r="S37" s="54">
        <f t="shared" si="5"/>
        <v>4.3763958333333332E-2</v>
      </c>
      <c r="T37" s="78"/>
      <c r="U37" s="49"/>
      <c r="V37" s="33"/>
      <c r="W37" s="33" t="s">
        <v>56</v>
      </c>
      <c r="X37" s="18"/>
      <c r="Y37" s="30">
        <v>4800</v>
      </c>
      <c r="Z37" s="30"/>
    </row>
    <row r="38" spans="1:26" ht="18.600000000000001" customHeight="1">
      <c r="A38" s="30">
        <v>35</v>
      </c>
      <c r="B38" s="29">
        <v>3617</v>
      </c>
      <c r="C38" s="3">
        <v>4</v>
      </c>
      <c r="D38" s="5">
        <v>50</v>
      </c>
      <c r="E38" s="4">
        <v>16</v>
      </c>
      <c r="F38" s="2" t="s">
        <v>46</v>
      </c>
      <c r="G38" s="6" t="s">
        <v>57</v>
      </c>
      <c r="H38" s="9" t="s">
        <v>58</v>
      </c>
      <c r="I38" s="39">
        <f>(50.7/3600*E38/C38)*1.13</f>
        <v>6.3656666666666667E-2</v>
      </c>
      <c r="J38" s="36">
        <v>0.8</v>
      </c>
      <c r="K38" s="36">
        <v>3.6</v>
      </c>
      <c r="L38" s="31" t="s">
        <v>59</v>
      </c>
      <c r="M38" s="33" t="s">
        <v>60</v>
      </c>
      <c r="N38" s="31">
        <v>1</v>
      </c>
      <c r="O38" s="31">
        <v>1</v>
      </c>
      <c r="P38" s="30">
        <f t="shared" si="2"/>
        <v>0</v>
      </c>
      <c r="Q38" s="17">
        <v>19800</v>
      </c>
      <c r="R38" s="57"/>
      <c r="S38" s="54">
        <f t="shared" si="5"/>
        <v>6.3656666666666667E-2</v>
      </c>
      <c r="T38" s="78"/>
      <c r="U38" s="49"/>
      <c r="V38" s="33"/>
      <c r="W38" s="33" t="s">
        <v>61</v>
      </c>
      <c r="X38" s="18"/>
      <c r="Y38" s="30">
        <v>4800</v>
      </c>
      <c r="Z38" s="30"/>
    </row>
    <row r="39" spans="1:26" ht="18.600000000000001" customHeight="1">
      <c r="A39" s="30">
        <v>36</v>
      </c>
      <c r="B39" s="29">
        <v>3619</v>
      </c>
      <c r="C39" s="31">
        <v>4</v>
      </c>
      <c r="D39" s="31">
        <v>180</v>
      </c>
      <c r="E39" s="31">
        <v>16</v>
      </c>
      <c r="F39" s="2" t="s">
        <v>46</v>
      </c>
      <c r="G39" s="11" t="s">
        <v>67</v>
      </c>
      <c r="H39" s="8" t="s">
        <v>68</v>
      </c>
      <c r="I39" s="39">
        <f>(70.6/3600*E39/C39)*1.13</f>
        <v>8.8642222222222206E-2</v>
      </c>
      <c r="J39" s="36">
        <v>2.9</v>
      </c>
      <c r="K39" s="36">
        <v>1.07</v>
      </c>
      <c r="L39" s="31" t="s">
        <v>49</v>
      </c>
      <c r="M39" s="31" t="s">
        <v>69</v>
      </c>
      <c r="N39" s="31">
        <v>1</v>
      </c>
      <c r="O39" s="31">
        <v>1</v>
      </c>
      <c r="P39" s="30">
        <f t="shared" si="2"/>
        <v>0</v>
      </c>
      <c r="Q39" s="17">
        <v>19800</v>
      </c>
      <c r="R39" s="57"/>
      <c r="S39" s="54">
        <f t="shared" si="5"/>
        <v>8.8642222222222206E-2</v>
      </c>
      <c r="T39" s="79"/>
      <c r="U39" s="49"/>
      <c r="V39" s="33"/>
      <c r="W39" s="33" t="s">
        <v>70</v>
      </c>
      <c r="X39" s="18"/>
      <c r="Y39" s="30">
        <v>4800</v>
      </c>
      <c r="Z39" s="30"/>
    </row>
    <row r="40" spans="1:26" ht="18.600000000000001" customHeight="1">
      <c r="A40" s="30">
        <v>37</v>
      </c>
      <c r="B40" s="29">
        <v>3620</v>
      </c>
      <c r="C40" s="31">
        <v>4</v>
      </c>
      <c r="D40" s="5">
        <v>50</v>
      </c>
      <c r="E40" s="31">
        <v>13</v>
      </c>
      <c r="F40" s="2" t="s">
        <v>46</v>
      </c>
      <c r="G40" s="11" t="s">
        <v>62</v>
      </c>
      <c r="H40" s="8" t="s">
        <v>172</v>
      </c>
      <c r="I40" s="39">
        <f>(50.7/3600*E40/C40)*1.13</f>
        <v>5.1721041666666669E-2</v>
      </c>
      <c r="J40" s="36">
        <v>0.24</v>
      </c>
      <c r="K40" s="36">
        <v>0.46</v>
      </c>
      <c r="L40" s="31" t="s">
        <v>49</v>
      </c>
      <c r="M40" s="31" t="s">
        <v>63</v>
      </c>
      <c r="N40" s="31">
        <v>1</v>
      </c>
      <c r="O40" s="31">
        <v>1</v>
      </c>
      <c r="P40" s="30">
        <f t="shared" si="2"/>
        <v>0</v>
      </c>
      <c r="Q40" s="17">
        <v>24369.230769230766</v>
      </c>
      <c r="R40" s="57"/>
      <c r="S40" s="54">
        <f t="shared" si="5"/>
        <v>5.1721041666666669E-2</v>
      </c>
      <c r="T40" s="80"/>
      <c r="U40" s="49"/>
      <c r="V40" s="33"/>
      <c r="W40" s="31" t="s">
        <v>64</v>
      </c>
      <c r="X40" s="18"/>
      <c r="Y40" s="30">
        <v>4800</v>
      </c>
      <c r="Z40" s="30"/>
    </row>
    <row r="42" spans="1:26">
      <c r="G42" s="30">
        <v>50</v>
      </c>
      <c r="H42" s="37"/>
      <c r="I42" s="37"/>
      <c r="J42" s="24"/>
      <c r="K42" s="17"/>
      <c r="L42" s="17"/>
      <c r="Q42" s="50"/>
      <c r="R42" s="50"/>
      <c r="T42" s="17"/>
      <c r="U42" s="17"/>
      <c r="V42" s="19"/>
      <c r="X42" s="17"/>
    </row>
    <row r="43" spans="1:26">
      <c r="G43" s="30">
        <v>80</v>
      </c>
    </row>
    <row r="44" spans="1:26">
      <c r="G44" s="30">
        <v>125</v>
      </c>
    </row>
    <row r="45" spans="1:26">
      <c r="G45" s="10">
        <v>150</v>
      </c>
    </row>
    <row r="46" spans="1:26">
      <c r="G46" s="30">
        <v>180</v>
      </c>
    </row>
    <row r="47" spans="1:26">
      <c r="G47" s="30">
        <v>200</v>
      </c>
    </row>
    <row r="48" spans="1:26">
      <c r="G48" s="30">
        <v>250</v>
      </c>
    </row>
    <row r="49" spans="7:7">
      <c r="G49" s="30">
        <v>280</v>
      </c>
    </row>
  </sheetData>
  <autoFilter ref="A1:Z40"/>
  <sortState ref="A2:T38">
    <sortCondition ref="D1"/>
  </sortState>
  <mergeCells count="18"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T4:T6"/>
    <mergeCell ref="T8:T10"/>
    <mergeCell ref="T36:T40"/>
    <mergeCell ref="Y23:Y27"/>
    <mergeCell ref="F18:F19"/>
    <mergeCell ref="G18:G19"/>
    <mergeCell ref="F20:F21"/>
    <mergeCell ref="G20:G21"/>
  </mergeCells>
  <phoneticPr fontId="1" type="noConversion"/>
  <pageMargins left="0.15748031496062992" right="0.15748031496062992" top="0.15748031496062992" bottom="0.15748031496062992" header="7.874015748031496E-2" footer="7.874015748031496E-2"/>
  <pageSetup paperSize="9" scale="65" orientation="landscape" r:id="rId1"/>
  <headerFooter>
    <oddFooter>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25"/>
  <sheetData>
    <row r="1" spans="1:1">
      <c r="A1" s="53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模具外发资料表2024年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2024-06-08T07:41:53Z</dcterms:modified>
</cp:coreProperties>
</file>