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1600" windowHeight="9510"/>
  </bookViews>
  <sheets>
    <sheet name="模具请确认供应商" sheetId="1" r:id="rId1"/>
    <sheet name="梅庄回复" sheetId="4" r:id="rId2"/>
    <sheet name="祥舜 回复" sheetId="5" r:id="rId3"/>
    <sheet name="已提供资料待提供供应商" sheetId="2" r:id="rId4"/>
    <sheet name="宝隆回复" sheetId="3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0" i="1" l="1"/>
  <c r="L18" i="2" l="1"/>
  <c r="L19" i="2"/>
  <c r="L17" i="2"/>
  <c r="M19" i="2"/>
  <c r="M18" i="2"/>
  <c r="Y17" i="2" l="1"/>
  <c r="Y19" i="2"/>
  <c r="Z19" i="2" s="1"/>
  <c r="Y18" i="2"/>
  <c r="Z18" i="2" s="1"/>
  <c r="L4" i="2" l="1"/>
  <c r="J11" i="1"/>
  <c r="J9" i="1"/>
  <c r="J8" i="1"/>
  <c r="J7" i="1"/>
  <c r="K19" i="2" l="1"/>
  <c r="I11" i="1" l="1"/>
  <c r="I9" i="1" l="1"/>
  <c r="I7" i="1"/>
  <c r="I8" i="1"/>
  <c r="I6" i="1"/>
  <c r="I5" i="1"/>
  <c r="I4" i="1"/>
  <c r="I3" i="1"/>
  <c r="I2" i="1"/>
  <c r="K17" i="2" l="1"/>
  <c r="K4" i="2"/>
  <c r="K3" i="2"/>
  <c r="K5" i="2"/>
  <c r="K18" i="2" l="1"/>
  <c r="K16" i="2"/>
  <c r="K15" i="2"/>
  <c r="K14" i="2"/>
  <c r="K13" i="2"/>
  <c r="K12" i="2"/>
  <c r="K11" i="2"/>
  <c r="K10" i="2"/>
  <c r="K9" i="2"/>
  <c r="K8" i="2"/>
  <c r="K7" i="2"/>
  <c r="K6" i="2"/>
  <c r="K2" i="2" l="1"/>
</calcChain>
</file>

<file path=xl/comments1.xml><?xml version="1.0" encoding="utf-8"?>
<comments xmlns="http://schemas.openxmlformats.org/spreadsheetml/2006/main">
  <authors>
    <author>作者</author>
  </authors>
  <commentList>
    <comment ref="I10" authorId="0" shapeId="0">
      <text>
        <r>
          <rPr>
            <b/>
            <sz val="9"/>
            <color indexed="81"/>
            <rFont val="宋体"/>
            <family val="3"/>
            <charset val="134"/>
          </rPr>
          <t>含除湿干燥机费</t>
        </r>
      </text>
    </comment>
  </commentList>
</comments>
</file>

<file path=xl/sharedStrings.xml><?xml version="1.0" encoding="utf-8"?>
<sst xmlns="http://schemas.openxmlformats.org/spreadsheetml/2006/main" count="284" uniqueCount="225">
  <si>
    <t>模號</t>
  </si>
  <si>
    <t>穴數</t>
  </si>
  <si>
    <t>噸位</t>
  </si>
  <si>
    <t>週期</t>
  </si>
  <si>
    <t>機種</t>
  </si>
  <si>
    <t>品名</t>
  </si>
  <si>
    <t>品號</t>
  </si>
  <si>
    <t>材料</t>
  </si>
  <si>
    <t>序號</t>
  </si>
  <si>
    <t>4+4</t>
    <phoneticPr fontId="2" type="noConversion"/>
  </si>
  <si>
    <t>100T</t>
    <phoneticPr fontId="2" type="noConversion"/>
  </si>
  <si>
    <t xml:space="preserve">SM8191 </t>
    <phoneticPr fontId="2" type="noConversion"/>
  </si>
  <si>
    <t>ABS_TAIRILAC_AG15A1 #NJ</t>
  </si>
  <si>
    <t>模號</t>
    <phoneticPr fontId="7" type="noConversion"/>
  </si>
  <si>
    <t>機種</t>
    <phoneticPr fontId="7" type="noConversion"/>
  </si>
  <si>
    <t>產品單重(G)</t>
    <phoneticPr fontId="7" type="noConversion"/>
  </si>
  <si>
    <t>材料</t>
    <phoneticPr fontId="7" type="noConversion"/>
  </si>
  <si>
    <t>模具尺寸</t>
    <phoneticPr fontId="7" type="noConversion"/>
  </si>
  <si>
    <t>200T</t>
    <phoneticPr fontId="2" type="noConversion"/>
  </si>
  <si>
    <t>ABS_TAIRILAC_AG15A1 #NJ</t>
    <phoneticPr fontId="2" type="noConversion"/>
  </si>
  <si>
    <t xml:space="preserve">SM3360 </t>
    <phoneticPr fontId="2" type="noConversion"/>
  </si>
  <si>
    <t>TOP_KEY</t>
    <phoneticPr fontId="2" type="noConversion"/>
  </si>
  <si>
    <t>ABS_CHIMEI_PA757/COAL_BLACK</t>
    <phoneticPr fontId="2" type="noConversion"/>
  </si>
  <si>
    <t>80T</t>
    <phoneticPr fontId="2" type="noConversion"/>
  </si>
  <si>
    <t>ON/OFF BUTTON</t>
    <phoneticPr fontId="2" type="noConversion"/>
  </si>
  <si>
    <t>100T</t>
    <phoneticPr fontId="2" type="noConversion"/>
  </si>
  <si>
    <t xml:space="preserve">MCR1908 </t>
    <phoneticPr fontId="2" type="noConversion"/>
  </si>
  <si>
    <t>LED LENS</t>
    <phoneticPr fontId="2" type="noConversion"/>
  </si>
  <si>
    <t>PC_SABIC_141R-111/半透明(扩散剂0.1%)</t>
    <phoneticPr fontId="2" type="noConversion"/>
  </si>
  <si>
    <t>150T</t>
    <phoneticPr fontId="2" type="noConversion"/>
  </si>
  <si>
    <t xml:space="preserve">SCROLLER ROLLER </t>
    <phoneticPr fontId="2" type="noConversion"/>
  </si>
  <si>
    <t>PC_SABIC_141R-111_CLEAR</t>
    <phoneticPr fontId="2" type="noConversion"/>
  </si>
  <si>
    <t>2+2</t>
    <phoneticPr fontId="2" type="noConversion"/>
  </si>
  <si>
    <t>CS1602</t>
    <phoneticPr fontId="2" type="noConversion"/>
  </si>
  <si>
    <t>左头带下盖/右头带下盖</t>
    <phoneticPr fontId="2" type="noConversion"/>
  </si>
  <si>
    <t>PC_ABS_TAIRILAC_AC2300_BLACK</t>
    <phoneticPr fontId="2" type="noConversion"/>
  </si>
  <si>
    <t>50T</t>
  </si>
  <si>
    <t>CS1602</t>
  </si>
  <si>
    <t>头带垫棉固定座</t>
  </si>
  <si>
    <t>ABS_CHIMEI_PA757_BLACK</t>
  </si>
  <si>
    <t>200T全自动</t>
  </si>
  <si>
    <t>KOREA</t>
  </si>
  <si>
    <t>SKIRT</t>
  </si>
  <si>
    <t>ABS_TAIRILAC_AG15A1_COAL_BLACK</t>
  </si>
  <si>
    <t>250T</t>
  </si>
  <si>
    <t>NIGIRI</t>
  </si>
  <si>
    <t>BATTERY COVER</t>
  </si>
  <si>
    <t>PC+ABS/LUPOY/SG5000S/KA02</t>
  </si>
  <si>
    <t>200T</t>
  </si>
  <si>
    <t>MG1178</t>
  </si>
  <si>
    <t>BOT CASE</t>
  </si>
  <si>
    <t>ABS/BASF/GP22/TOSHIBA-PALEGRAY</t>
    <phoneticPr fontId="2" type="noConversion"/>
  </si>
  <si>
    <t>BOTTOM_CASE</t>
    <phoneticPr fontId="2" type="noConversion"/>
  </si>
  <si>
    <t>MCR_2029</t>
    <phoneticPr fontId="2" type="noConversion"/>
  </si>
  <si>
    <t>101361005004A/101361005005A</t>
    <phoneticPr fontId="2" type="noConversion"/>
  </si>
  <si>
    <t>101361005013A</t>
    <phoneticPr fontId="2" type="noConversion"/>
  </si>
  <si>
    <t>PC+ABS/LUPOY/GN5008HF/KA319</t>
    <phoneticPr fontId="2" type="noConversion"/>
  </si>
  <si>
    <t>800520073495</t>
    <phoneticPr fontId="2" type="noConversion"/>
  </si>
  <si>
    <t>800520073494</t>
    <phoneticPr fontId="2" type="noConversion"/>
  </si>
  <si>
    <t>TILT_RIB_PLATE</t>
    <phoneticPr fontId="2" type="noConversion"/>
  </si>
  <si>
    <t>101361005011A</t>
    <phoneticPr fontId="2" type="noConversion"/>
  </si>
  <si>
    <t>PC/SABIC/141R/SOLID_PLATINUM</t>
    <phoneticPr fontId="2" type="noConversion"/>
  </si>
  <si>
    <t>201361010401A</t>
    <phoneticPr fontId="2" type="noConversion"/>
  </si>
  <si>
    <t>800520073487</t>
    <phoneticPr fontId="2" type="noConversion"/>
  </si>
  <si>
    <t>201361010201A</t>
    <phoneticPr fontId="2" type="noConversion"/>
  </si>
  <si>
    <t>800520063477</t>
    <phoneticPr fontId="2" type="noConversion"/>
  </si>
  <si>
    <t>Texas</t>
    <phoneticPr fontId="7" type="noConversion"/>
  </si>
  <si>
    <t>HANDLE_OUTER_L</t>
    <phoneticPr fontId="2" type="noConversion"/>
  </si>
  <si>
    <t>PC_CHIMEI_122半透明</t>
    <phoneticPr fontId="2" type="noConversion"/>
  </si>
  <si>
    <t>1*4</t>
    <phoneticPr fontId="2" type="noConversion"/>
  </si>
  <si>
    <t>BOTTOM_CASE</t>
  </si>
  <si>
    <t>ABS/BASF/GP22/#NI_BLACK/R1</t>
    <phoneticPr fontId="2" type="noConversion"/>
  </si>
  <si>
    <t>SUSHI</t>
  </si>
  <si>
    <t xml:space="preserve">SD9086 </t>
    <phoneticPr fontId="11" type="noConversion"/>
  </si>
  <si>
    <t>TOP_DONGLE</t>
    <phoneticPr fontId="11" type="noConversion"/>
  </si>
  <si>
    <t>ABS/TAIRILAC/AG15A1</t>
    <phoneticPr fontId="2" type="noConversion"/>
  </si>
  <si>
    <t>SM9069</t>
  </si>
  <si>
    <t>TOP CASE</t>
  </si>
  <si>
    <t>ABS/TAIRILAC/AG15A1/#NJ</t>
  </si>
  <si>
    <t>KEY</t>
  </si>
  <si>
    <t>450*400*386</t>
    <phoneticPr fontId="2" type="noConversion"/>
  </si>
  <si>
    <t>2683</t>
    <phoneticPr fontId="2" type="noConversion"/>
  </si>
  <si>
    <t>3354</t>
    <phoneticPr fontId="2" type="noConversion"/>
  </si>
  <si>
    <t>序号</t>
    <phoneticPr fontId="2" type="noConversion"/>
  </si>
  <si>
    <t>穴數</t>
    <phoneticPr fontId="7" type="noConversion"/>
  </si>
  <si>
    <t>噸位</t>
    <phoneticPr fontId="7" type="noConversion"/>
  </si>
  <si>
    <t>週期</t>
    <phoneticPr fontId="7" type="noConversion"/>
  </si>
  <si>
    <t>水口單重(G)</t>
    <phoneticPr fontId="7" type="noConversion"/>
  </si>
  <si>
    <t>200T</t>
    <phoneticPr fontId="2" type="noConversion"/>
  </si>
  <si>
    <t>BOTTOM_CASE注塑成型</t>
    <phoneticPr fontId="2" type="noConversion"/>
  </si>
  <si>
    <t>450X500X461</t>
  </si>
  <si>
    <t>450X500X491</t>
  </si>
  <si>
    <t>80T</t>
    <phoneticPr fontId="2" type="noConversion"/>
  </si>
  <si>
    <t>MG-1178</t>
    <phoneticPr fontId="2" type="noConversion"/>
  </si>
  <si>
    <t>ABS_BASF_GP22/COAL_BLACK</t>
    <phoneticPr fontId="2" type="noConversion"/>
  </si>
  <si>
    <t>MCR_2029</t>
    <phoneticPr fontId="2" type="noConversion"/>
  </si>
  <si>
    <t>ISLAND_COVER注塑成型</t>
    <phoneticPr fontId="2" type="noConversion"/>
  </si>
  <si>
    <t>ABS/TAIRILAC/AG15A1/SOLID_PLATINUM(+0.6%抗UV?)</t>
    <phoneticPr fontId="2" type="noConversion"/>
  </si>
  <si>
    <t>350X450X376</t>
  </si>
  <si>
    <t>SIDE_BUTTON_FRONT/SIDE_BUTTON_BACK</t>
    <phoneticPr fontId="2" type="noConversion"/>
  </si>
  <si>
    <t>ABS/TAIRILAC/AG15A1/SOLID_PLATINUM(+0.6%抗UV?)</t>
    <phoneticPr fontId="2" type="noConversion"/>
  </si>
  <si>
    <t>300X280X261</t>
  </si>
  <si>
    <t>MCR_2029</t>
    <phoneticPr fontId="2" type="noConversion"/>
  </si>
  <si>
    <t>BATTERY_HOLDER</t>
    <phoneticPr fontId="2" type="noConversion"/>
  </si>
  <si>
    <t>300X270X261</t>
  </si>
  <si>
    <t>800520073497</t>
    <phoneticPr fontId="2" type="noConversion"/>
  </si>
  <si>
    <t>SIDE_BUTTON_BACK</t>
    <phoneticPr fontId="2" type="noConversion"/>
  </si>
  <si>
    <t>101361005014A</t>
    <phoneticPr fontId="2" type="noConversion"/>
  </si>
  <si>
    <t>300X300X271</t>
  </si>
  <si>
    <t>TILT_WHEEL_HOLDER</t>
    <phoneticPr fontId="2" type="noConversion"/>
  </si>
  <si>
    <t>101361005012A</t>
    <phoneticPr fontId="2" type="noConversion"/>
  </si>
  <si>
    <t>400X350X346</t>
  </si>
  <si>
    <t>PC/SABIC/141R/SOLID_PLATINUM</t>
    <phoneticPr fontId="2" type="noConversion"/>
  </si>
  <si>
    <t>300X250X271</t>
  </si>
  <si>
    <t>800520073493</t>
    <phoneticPr fontId="2" type="noConversion"/>
  </si>
  <si>
    <t>SCROLL_ROLLER</t>
    <phoneticPr fontId="2" type="noConversion"/>
  </si>
  <si>
    <t>550X350X366</t>
  </si>
  <si>
    <t>800520073492</t>
    <phoneticPr fontId="2" type="noConversion"/>
  </si>
  <si>
    <t>ON_OFF_SWITCH</t>
    <phoneticPr fontId="2" type="noConversion"/>
  </si>
  <si>
    <t>101361005009A</t>
    <phoneticPr fontId="2" type="noConversion"/>
  </si>
  <si>
    <t>280X300X261</t>
  </si>
  <si>
    <t>800520073490</t>
    <phoneticPr fontId="2" type="noConversion"/>
  </si>
  <si>
    <t>ISLAND_LENS_POWER</t>
    <phoneticPr fontId="2" type="noConversion"/>
  </si>
  <si>
    <t>101361005007A</t>
    <phoneticPr fontId="2" type="noConversion"/>
  </si>
  <si>
    <t>PC/SABIC/141R-111/TRANSPARENT</t>
    <phoneticPr fontId="2" type="noConversion"/>
  </si>
  <si>
    <t>280X230X271</t>
  </si>
  <si>
    <t>800520073489</t>
    <phoneticPr fontId="2" type="noConversion"/>
  </si>
  <si>
    <t>ISLAND_LENS_BT</t>
    <phoneticPr fontId="2" type="noConversion"/>
  </si>
  <si>
    <t>101361005006A</t>
    <phoneticPr fontId="2" type="noConversion"/>
  </si>
  <si>
    <t>PC/SABIC/141R-111/TRANSPARENT</t>
    <phoneticPr fontId="2" type="noConversion"/>
  </si>
  <si>
    <t>300X270X271</t>
  </si>
  <si>
    <t>BOT_CASE</t>
    <phoneticPr fontId="2" type="noConversion"/>
  </si>
  <si>
    <t>600X400X527</t>
  </si>
  <si>
    <t>GM41</t>
    <phoneticPr fontId="2" type="noConversion"/>
  </si>
  <si>
    <t>ABS/TAIRILAC/AG15A1/BLACK</t>
    <phoneticPr fontId="2" type="noConversion"/>
  </si>
  <si>
    <t>400X350X381</t>
  </si>
  <si>
    <t>500*450*491</t>
  </si>
  <si>
    <t>2682</t>
    <phoneticPr fontId="2" type="noConversion"/>
  </si>
  <si>
    <t>1*4</t>
    <phoneticPr fontId="2" type="noConversion"/>
  </si>
  <si>
    <t>ABS/TAIRILAC/AG15A1/#NJ</t>
    <phoneticPr fontId="2" type="noConversion"/>
  </si>
  <si>
    <t>500*400*376</t>
    <phoneticPr fontId="2" type="noConversion"/>
  </si>
  <si>
    <t>201343010202B</t>
    <phoneticPr fontId="2" type="noConversion"/>
  </si>
  <si>
    <t>201220010201B</t>
    <phoneticPr fontId="2" type="noConversion"/>
  </si>
  <si>
    <t>201264010301A</t>
    <phoneticPr fontId="2" type="noConversion"/>
  </si>
  <si>
    <t>MODE_BUTTON</t>
    <phoneticPr fontId="2" type="noConversion"/>
  </si>
  <si>
    <t>101340005005B</t>
    <phoneticPr fontId="2" type="noConversion"/>
  </si>
  <si>
    <t>202217011801B</t>
    <phoneticPr fontId="2" type="noConversion"/>
  </si>
  <si>
    <t>101340005009B</t>
    <phoneticPr fontId="2" type="noConversion"/>
  </si>
  <si>
    <t>145356138004AR/145356138005AR</t>
    <phoneticPr fontId="2" type="noConversion"/>
  </si>
  <si>
    <t>145356138003AR</t>
    <phoneticPr fontId="2" type="noConversion"/>
  </si>
  <si>
    <t>201361012901A</t>
    <phoneticPr fontId="2" type="noConversion"/>
  </si>
  <si>
    <t>101264027001A 201264010101A</t>
    <phoneticPr fontId="2" type="noConversion"/>
  </si>
  <si>
    <t>101358139002A</t>
    <phoneticPr fontId="2" type="noConversion"/>
  </si>
  <si>
    <t>101302027001A</t>
    <phoneticPr fontId="2" type="noConversion"/>
  </si>
  <si>
    <t>101285003002B</t>
    <phoneticPr fontId="2" type="noConversion"/>
  </si>
  <si>
    <t>227319010214A</t>
    <phoneticPr fontId="2" type="noConversion"/>
  </si>
  <si>
    <r>
      <rPr>
        <sz val="12"/>
        <color theme="1"/>
        <rFont val="宋体"/>
        <family val="3"/>
        <charset val="134"/>
      </rPr>
      <t>顶钧含税价</t>
    </r>
    <r>
      <rPr>
        <sz val="12"/>
        <color theme="1"/>
        <rFont val="標楷體"/>
        <family val="2"/>
      </rPr>
      <t>13%</t>
    </r>
    <phoneticPr fontId="2" type="noConversion"/>
  </si>
  <si>
    <t>顶钧含税价13%</t>
    <phoneticPr fontId="2" type="noConversion"/>
  </si>
  <si>
    <t>标准用人</t>
  </si>
  <si>
    <t>实际用人</t>
    <phoneticPr fontId="2" type="noConversion"/>
  </si>
  <si>
    <t>備註</t>
  </si>
  <si>
    <t>回复</t>
  </si>
  <si>
    <t>模具已退回</t>
  </si>
  <si>
    <t>PC_SABIC_141R-111/半透明(扩散剂0.1%)</t>
  </si>
  <si>
    <t>茁腾回复无法生产退回</t>
  </si>
  <si>
    <t>订单剩余7K,做完可外发</t>
  </si>
  <si>
    <t>PC_SABIC_141R-111_CLEAR</t>
  </si>
  <si>
    <t>打样OK，生产不出来良品退后通知退回厂年</t>
  </si>
  <si>
    <t>暂无订单，可外发</t>
  </si>
  <si>
    <t>PC_ABS_TAIRILAC_AC2300_BLACK</t>
  </si>
  <si>
    <t>10月8日退回青皇生產.打样NG</t>
  </si>
  <si>
    <r>
      <rPr>
        <sz val="12"/>
        <color theme="1"/>
        <rFont val="等线"/>
        <family val="3"/>
        <charset val="134"/>
        <scheme val="minor"/>
      </rPr>
      <t>订单剩余</t>
    </r>
    <r>
      <rPr>
        <sz val="12"/>
        <color theme="1"/>
        <rFont val="等线"/>
        <family val="3"/>
        <charset val="134"/>
        <scheme val="minor"/>
      </rPr>
      <t>50K,</t>
    </r>
    <r>
      <rPr>
        <sz val="12"/>
        <color theme="1"/>
        <rFont val="等线"/>
        <family val="3"/>
        <charset val="134"/>
        <scheme val="minor"/>
      </rPr>
      <t>做完可外发</t>
    </r>
  </si>
  <si>
    <t>8月7日退回青皇生產.退回原因产品断裂.此套厂内电动机生产，外发茁腾生产未提出要用电动机生产后交进产品爆裂退货，品工主导开会4-5次没找到真因，生产及原料都有确认具体原因没找出，退回厂内生产。最初厂内生产品8000多有与茁腾交进产品一起退到到茁腾，厂内生产爆裂品已退回厂内。</t>
  </si>
  <si>
    <r>
      <rPr>
        <sz val="12"/>
        <color theme="1"/>
        <rFont val="等线"/>
        <family val="3"/>
        <charset val="134"/>
        <scheme val="minor"/>
      </rPr>
      <t>订单剩余</t>
    </r>
    <r>
      <rPr>
        <sz val="12"/>
        <color theme="1"/>
        <rFont val="等线"/>
        <family val="3"/>
        <charset val="134"/>
        <scheme val="minor"/>
      </rPr>
      <t>60K,</t>
    </r>
    <r>
      <rPr>
        <sz val="12"/>
        <color theme="1"/>
        <rFont val="等线"/>
        <family val="3"/>
        <charset val="134"/>
        <scheme val="minor"/>
      </rPr>
      <t>做完可外发</t>
    </r>
  </si>
  <si>
    <t>原鑫夏退回模具</t>
  </si>
  <si>
    <r>
      <rPr>
        <sz val="12"/>
        <color theme="1"/>
        <rFont val="標楷體"/>
        <family val="2"/>
      </rPr>
      <t>6/16</t>
    </r>
    <r>
      <rPr>
        <sz val="12"/>
        <color theme="1"/>
        <rFont val="宋体"/>
        <family val="3"/>
        <charset val="134"/>
      </rPr>
      <t>外发打样沒有領模</t>
    </r>
  </si>
  <si>
    <t>订单半月内暂不欠货，可先打样</t>
  </si>
  <si>
    <t>ABS/BASF/GP22/TOSHIBA-PALEGRAY</t>
  </si>
  <si>
    <t>模具7月1日已退回青皇.山圣提出生产不良率高无法成接</t>
  </si>
  <si>
    <t>订单5K,生产完可外发</t>
  </si>
  <si>
    <t>PC_CHIMEI_122半透明</t>
  </si>
  <si>
    <t>7月10日退回修模.后回复不成接此模具</t>
  </si>
  <si>
    <t>ABS/TAIRILAC/AG15A1</t>
  </si>
  <si>
    <r>
      <rPr>
        <sz val="12"/>
        <color theme="1"/>
        <rFont val="新細明體"/>
        <family val="1"/>
      </rPr>
      <t>10</t>
    </r>
    <r>
      <rPr>
        <sz val="12"/>
        <color theme="1"/>
        <rFont val="宋体"/>
        <family val="3"/>
        <charset val="134"/>
      </rPr>
      <t>月</t>
    </r>
    <r>
      <rPr>
        <sz val="12"/>
        <color theme="1"/>
        <rFont val="新細明體"/>
        <family val="1"/>
      </rPr>
      <t>19</t>
    </r>
    <r>
      <rPr>
        <sz val="12"/>
        <color theme="1"/>
        <rFont val="宋体"/>
        <family val="3"/>
        <charset val="134"/>
      </rPr>
      <t>日外發打樣</t>
    </r>
    <r>
      <rPr>
        <sz val="12"/>
        <color theme="1"/>
        <rFont val="新細明體"/>
        <family val="1"/>
      </rPr>
      <t>.</t>
    </r>
    <r>
      <rPr>
        <sz val="12"/>
        <color theme="1"/>
        <rFont val="宋体"/>
        <family val="3"/>
        <charset val="134"/>
      </rPr>
      <t>茁腾打样</t>
    </r>
    <r>
      <rPr>
        <sz val="12"/>
        <color theme="1"/>
        <rFont val="新細明體"/>
        <family val="1"/>
      </rPr>
      <t>NG</t>
    </r>
  </si>
  <si>
    <t>测量专用治具</t>
  </si>
  <si>
    <t>模具可外发时间</t>
  </si>
  <si>
    <t>Forecast /月</t>
  </si>
  <si>
    <t>备注</t>
  </si>
  <si>
    <t>FX-343-006</t>
  </si>
  <si>
    <t>现可安排外发打样</t>
  </si>
  <si>
    <t>FX-302-010</t>
  </si>
  <si>
    <r>
      <rPr>
        <sz val="12"/>
        <color theme="1"/>
        <rFont val="楷体"/>
        <family val="3"/>
        <charset val="134"/>
      </rPr>
      <t>安排外发打样！</t>
    </r>
    <r>
      <rPr>
        <sz val="12"/>
        <color rgb="FFFF0000"/>
        <rFont val="楷体"/>
        <family val="3"/>
        <charset val="134"/>
      </rPr>
      <t>急件</t>
    </r>
  </si>
  <si>
    <t>无</t>
  </si>
  <si>
    <t>FX-361-010</t>
  </si>
  <si>
    <t>FX-361-007
FX-361-008</t>
  </si>
  <si>
    <t>FX-361-014</t>
  </si>
  <si>
    <t>FX-361-009</t>
  </si>
  <si>
    <t>FX-361-012</t>
  </si>
  <si>
    <t>FX-361-017</t>
  </si>
  <si>
    <t>FX-361-011</t>
  </si>
  <si>
    <t>FX-361-013</t>
  </si>
  <si>
    <t>FX-361-016</t>
  </si>
  <si>
    <t>FX-361-015</t>
  </si>
  <si>
    <t>FX-361-005
FX-361-006</t>
  </si>
  <si>
    <t>FX-358-003
FX-358-004</t>
  </si>
  <si>
    <t>谢坑H8生产中（灯罩组装）</t>
  </si>
  <si>
    <t>谢坑H7克服生产中</t>
  </si>
  <si>
    <t>101343027020B/21B/18A/19A</t>
    <phoneticPr fontId="2" type="noConversion"/>
  </si>
  <si>
    <t>廠商更新</t>
    <phoneticPr fontId="2" type="noConversion"/>
  </si>
  <si>
    <t>寶隆</t>
    <phoneticPr fontId="2" type="noConversion"/>
  </si>
  <si>
    <t>寶隆</t>
    <phoneticPr fontId="2" type="noConversion"/>
  </si>
  <si>
    <r>
      <t>梅莊/</t>
    </r>
    <r>
      <rPr>
        <sz val="12"/>
        <color theme="1"/>
        <rFont val="楷体"/>
        <family val="3"/>
        <charset val="134"/>
      </rPr>
      <t>祥舜</t>
    </r>
    <phoneticPr fontId="2" type="noConversion"/>
  </si>
  <si>
    <r>
      <t>梅莊/</t>
    </r>
    <r>
      <rPr>
        <sz val="12"/>
        <color theme="1"/>
        <rFont val="楷体"/>
        <family val="3"/>
        <charset val="134"/>
      </rPr>
      <t>祥舜</t>
    </r>
    <phoneticPr fontId="2" type="noConversion"/>
  </si>
  <si>
    <t>廠商更新</t>
    <phoneticPr fontId="2" type="noConversion"/>
  </si>
  <si>
    <t>寶隆</t>
    <phoneticPr fontId="2" type="noConversion"/>
  </si>
  <si>
    <t>梅庄</t>
    <phoneticPr fontId="2" type="noConversion"/>
  </si>
  <si>
    <t>祥舜</t>
    <phoneticPr fontId="2" type="noConversion"/>
  </si>
  <si>
    <r>
      <t>1</t>
    </r>
    <r>
      <rPr>
        <sz val="12"/>
        <color theme="1"/>
        <rFont val="等线"/>
        <family val="3"/>
        <charset val="134"/>
        <scheme val="minor"/>
      </rPr>
      <t>人費用</t>
    </r>
    <phoneticPr fontId="2" type="noConversion"/>
  </si>
  <si>
    <t>產能</t>
    <phoneticPr fontId="2" type="noConversion"/>
  </si>
  <si>
    <r>
      <rPr>
        <sz val="12"/>
        <color theme="1"/>
        <rFont val="宋体"/>
        <family val="3"/>
        <charset val="134"/>
      </rPr>
      <t>顶钧旧费</t>
    </r>
    <r>
      <rPr>
        <sz val="12"/>
        <color theme="1"/>
        <rFont val="標楷體"/>
        <family val="2"/>
      </rPr>
      <t>7</t>
    </r>
    <r>
      <rPr>
        <sz val="12"/>
        <color theme="1"/>
        <rFont val="宋体"/>
        <family val="3"/>
        <charset val="134"/>
      </rPr>
      <t>折更新后含税价</t>
    </r>
    <r>
      <rPr>
        <sz val="12"/>
        <color theme="1"/>
        <rFont val="標楷體"/>
        <family val="2"/>
      </rPr>
      <t>13%</t>
    </r>
    <phoneticPr fontId="2" type="noConversion"/>
  </si>
  <si>
    <t>含用人費用</t>
    <phoneticPr fontId="2" type="noConversion"/>
  </si>
  <si>
    <t>201206013002B
201206013003B</t>
    <phoneticPr fontId="11" type="noConversion"/>
  </si>
  <si>
    <t>101140005009/101140005020/5021</t>
    <phoneticPr fontId="2" type="noConversion"/>
  </si>
  <si>
    <r>
      <t>梅莊/</t>
    </r>
    <r>
      <rPr>
        <sz val="12"/>
        <color theme="1"/>
        <rFont val="楷体"/>
        <family val="3"/>
        <charset val="134"/>
      </rPr>
      <t>祥舜</t>
    </r>
    <phoneticPr fontId="2" type="noConversion"/>
  </si>
  <si>
    <t>祥舜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</si>
</sst>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76" formatCode="0_);[Red]\(0\)"/>
    <numFmt numFmtId="177" formatCode="[$-409]yyyy/m/d\ h:mm\ AM/PM;@"/>
    <numFmt numFmtId="178" formatCode="0_);\(0\)"/>
    <numFmt numFmtId="179" formatCode="#,##0_ "/>
    <numFmt numFmtId="180" formatCode="[$￥-804]#,##0.0"/>
    <numFmt numFmtId="181" formatCode="0.00;[Red]0.00"/>
    <numFmt numFmtId="182" formatCode="0;[Red]0"/>
    <numFmt numFmtId="183" formatCode="m&quot;月&quot;d&quot;日&quot;;@"/>
    <numFmt numFmtId="184" formatCode="0.000_);[Red]\(0.000\)"/>
    <numFmt numFmtId="185" formatCode="0_ "/>
    <numFmt numFmtId="186" formatCode="0.000;[Red]0.000"/>
  </numFmts>
  <fonts count="24">
    <font>
      <sz val="11"/>
      <color theme="1"/>
      <name val="等线"/>
      <family val="2"/>
      <scheme val="minor"/>
    </font>
    <font>
      <sz val="12"/>
      <color theme="1"/>
      <name val="楷体"/>
      <family val="3"/>
      <charset val="134"/>
    </font>
    <font>
      <sz val="9"/>
      <name val="等线"/>
      <family val="3"/>
      <charset val="134"/>
      <scheme val="minor"/>
    </font>
    <font>
      <sz val="12"/>
      <color indexed="8"/>
      <name val="宋体"/>
      <family val="3"/>
      <charset val="134"/>
    </font>
    <font>
      <sz val="12"/>
      <name val="宋体"/>
      <family val="3"/>
      <charset val="134"/>
    </font>
    <font>
      <sz val="12"/>
      <color theme="1"/>
      <name val="等线"/>
      <family val="2"/>
      <scheme val="minor"/>
    </font>
    <font>
      <sz val="12"/>
      <color indexed="8"/>
      <name val="楷体"/>
      <family val="3"/>
      <charset val="134"/>
    </font>
    <font>
      <sz val="9"/>
      <name val="等线"/>
      <family val="2"/>
      <charset val="136"/>
      <scheme val="minor"/>
    </font>
    <font>
      <sz val="12"/>
      <color theme="1"/>
      <name val="宋体"/>
      <family val="3"/>
      <charset val="134"/>
    </font>
    <font>
      <sz val="12"/>
      <name val="楷体"/>
      <family val="3"/>
      <charset val="134"/>
    </font>
    <font>
      <sz val="12"/>
      <color rgb="FF000000"/>
      <name val="楷体"/>
      <family val="3"/>
      <charset val="134"/>
    </font>
    <font>
      <sz val="9"/>
      <name val="宋体"/>
      <family val="3"/>
      <charset val="134"/>
    </font>
    <font>
      <sz val="12"/>
      <color theme="1"/>
      <name val="仿宋"/>
      <family val="3"/>
      <charset val="134"/>
    </font>
    <font>
      <sz val="12"/>
      <color theme="1"/>
      <name val="等线"/>
      <family val="3"/>
      <charset val="134"/>
      <scheme val="minor"/>
    </font>
    <font>
      <sz val="11"/>
      <color indexed="8"/>
      <name val="等线"/>
      <family val="2"/>
      <charset val="134"/>
    </font>
    <font>
      <sz val="10"/>
      <color theme="1"/>
      <name val="宋体"/>
      <family val="3"/>
      <charset val="134"/>
    </font>
    <font>
      <sz val="12"/>
      <color theme="1"/>
      <name val="標楷體"/>
      <family val="2"/>
    </font>
    <font>
      <sz val="12"/>
      <color theme="1"/>
      <name val="新細明體"/>
      <family val="1"/>
    </font>
    <font>
      <sz val="11"/>
      <color rgb="FF000000"/>
      <name val="Arial"/>
      <family val="2"/>
    </font>
    <font>
      <b/>
      <sz val="9"/>
      <color indexed="81"/>
      <name val="宋体"/>
      <family val="3"/>
      <charset val="134"/>
    </font>
    <font>
      <sz val="12"/>
      <name val="新細明體"/>
      <family val="22"/>
      <charset val="134"/>
    </font>
    <font>
      <sz val="12"/>
      <color theme="1"/>
      <name val="新細明體"/>
      <family val="1"/>
    </font>
    <font>
      <sz val="12"/>
      <color rgb="FFFF0000"/>
      <name val="楷体"/>
      <family val="3"/>
      <charset val="134"/>
    </font>
    <font>
      <b/>
      <sz val="12"/>
      <color theme="1"/>
      <name val="楷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177" fontId="3" fillId="0" borderId="0">
      <alignment vertical="center"/>
    </xf>
    <xf numFmtId="177" fontId="4" fillId="0" borderId="0">
      <alignment vertical="center"/>
    </xf>
    <xf numFmtId="177" fontId="4" fillId="0" borderId="0">
      <alignment vertical="center"/>
    </xf>
    <xf numFmtId="177" fontId="13" fillId="0" borderId="0">
      <alignment vertical="center"/>
    </xf>
    <xf numFmtId="177" fontId="4" fillId="0" borderId="0">
      <alignment vertical="center"/>
    </xf>
    <xf numFmtId="177" fontId="4" fillId="0" borderId="0">
      <alignment vertical="center"/>
    </xf>
    <xf numFmtId="177" fontId="14" fillId="0" borderId="0">
      <alignment vertical="center"/>
    </xf>
    <xf numFmtId="177" fontId="4" fillId="0" borderId="0">
      <alignment vertical="center"/>
    </xf>
    <xf numFmtId="177" fontId="4" fillId="0" borderId="0">
      <alignment vertical="center"/>
    </xf>
    <xf numFmtId="177" fontId="13" fillId="0" borderId="0">
      <alignment vertical="center"/>
    </xf>
  </cellStyleXfs>
  <cellXfs count="97">
    <xf numFmtId="0" fontId="0" fillId="0" borderId="0" xfId="0"/>
    <xf numFmtId="176" fontId="1" fillId="0" borderId="1" xfId="0" applyNumberFormat="1" applyFont="1" applyFill="1" applyBorder="1" applyAlignment="1">
      <alignment horizontal="center" vertical="center" wrapText="1"/>
    </xf>
    <xf numFmtId="176" fontId="6" fillId="2" borderId="1" xfId="1" applyNumberFormat="1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/>
    </xf>
    <xf numFmtId="176" fontId="12" fillId="2" borderId="1" xfId="0" applyNumberFormat="1" applyFont="1" applyFill="1" applyBorder="1" applyAlignment="1">
      <alignment horizontal="center" vertical="center"/>
    </xf>
    <xf numFmtId="176" fontId="12" fillId="0" borderId="1" xfId="0" applyNumberFormat="1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vertical="center" wrapText="1"/>
    </xf>
    <xf numFmtId="176" fontId="12" fillId="2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176" fontId="1" fillId="0" borderId="1" xfId="3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176" fontId="1" fillId="0" borderId="0" xfId="0" applyNumberFormat="1" applyFont="1" applyFill="1" applyAlignment="1">
      <alignment horizontal="center" vertical="center"/>
    </xf>
    <xf numFmtId="176" fontId="13" fillId="0" borderId="0" xfId="5" applyNumberFormat="1" applyFont="1" applyFill="1">
      <alignment vertical="center"/>
    </xf>
    <xf numFmtId="0" fontId="13" fillId="0" borderId="0" xfId="0" applyFont="1" applyAlignment="1">
      <alignment vertical="center"/>
    </xf>
    <xf numFmtId="176" fontId="12" fillId="2" borderId="0" xfId="0" applyNumberFormat="1" applyFont="1" applyFill="1" applyAlignment="1">
      <alignment horizontal="center" vertical="center"/>
    </xf>
    <xf numFmtId="176" fontId="16" fillId="2" borderId="1" xfId="0" applyNumberFormat="1" applyFont="1" applyFill="1" applyBorder="1" applyAlignment="1">
      <alignment horizontal="center" vertical="center"/>
    </xf>
    <xf numFmtId="180" fontId="1" fillId="2" borderId="1" xfId="0" applyNumberFormat="1" applyFont="1" applyFill="1" applyBorder="1" applyAlignment="1">
      <alignment horizontal="center" vertical="center"/>
    </xf>
    <xf numFmtId="180" fontId="1" fillId="2" borderId="1" xfId="0" applyNumberFormat="1" applyFont="1" applyFill="1" applyBorder="1" applyAlignment="1">
      <alignment horizontal="center" vertical="center" wrapText="1"/>
    </xf>
    <xf numFmtId="176" fontId="16" fillId="2" borderId="1" xfId="0" applyNumberFormat="1" applyFont="1" applyFill="1" applyBorder="1" applyAlignment="1">
      <alignment horizontal="center" vertical="center" wrapText="1"/>
    </xf>
    <xf numFmtId="180" fontId="13" fillId="2" borderId="0" xfId="0" applyNumberFormat="1" applyFont="1" applyFill="1" applyAlignment="1">
      <alignment horizontal="center" vertical="center"/>
    </xf>
    <xf numFmtId="176" fontId="17" fillId="2" borderId="1" xfId="6" applyNumberFormat="1" applyFont="1" applyFill="1" applyBorder="1" applyAlignment="1">
      <alignment horizontal="center" vertical="center"/>
    </xf>
    <xf numFmtId="176" fontId="8" fillId="2" borderId="1" xfId="2" applyNumberFormat="1" applyFont="1" applyFill="1" applyBorder="1" applyAlignment="1">
      <alignment horizontal="center" vertical="center" wrapText="1"/>
    </xf>
    <xf numFmtId="178" fontId="16" fillId="2" borderId="1" xfId="1" applyNumberFormat="1" applyFont="1" applyFill="1" applyBorder="1" applyAlignment="1">
      <alignment horizontal="center" vertical="center" wrapText="1"/>
    </xf>
    <xf numFmtId="49" fontId="16" fillId="2" borderId="1" xfId="1" applyNumberFormat="1" applyFont="1" applyFill="1" applyBorder="1" applyAlignment="1">
      <alignment horizontal="center" vertical="center" wrapText="1"/>
    </xf>
    <xf numFmtId="177" fontId="16" fillId="2" borderId="1" xfId="1" applyFont="1" applyFill="1" applyBorder="1" applyAlignment="1">
      <alignment horizontal="center" vertical="center" wrapText="1"/>
    </xf>
    <xf numFmtId="176" fontId="5" fillId="2" borderId="0" xfId="0" applyNumberFormat="1" applyFont="1" applyFill="1" applyAlignment="1">
      <alignment horizontal="center" vertical="center"/>
    </xf>
    <xf numFmtId="176" fontId="1" fillId="2" borderId="1" xfId="2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7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vertical="center" wrapText="1"/>
    </xf>
    <xf numFmtId="176" fontId="13" fillId="2" borderId="0" xfId="0" applyNumberFormat="1" applyFont="1" applyFill="1" applyAlignment="1">
      <alignment horizontal="center" vertical="center"/>
    </xf>
    <xf numFmtId="176" fontId="5" fillId="2" borderId="1" xfId="0" applyNumberFormat="1" applyFont="1" applyFill="1" applyBorder="1" applyAlignment="1">
      <alignment horizontal="center" vertical="center"/>
    </xf>
    <xf numFmtId="176" fontId="5" fillId="2" borderId="0" xfId="0" applyNumberFormat="1" applyFont="1" applyFill="1" applyAlignment="1">
      <alignment vertical="center"/>
    </xf>
    <xf numFmtId="176" fontId="1" fillId="2" borderId="1" xfId="3" applyNumberFormat="1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 applyProtection="1">
      <alignment horizontal="center" vertical="center" shrinkToFit="1"/>
      <protection locked="0"/>
    </xf>
    <xf numFmtId="176" fontId="1" fillId="2" borderId="1" xfId="0" applyNumberFormat="1" applyFont="1" applyFill="1" applyBorder="1" applyAlignment="1" applyProtection="1">
      <alignment horizontal="center" vertical="center" wrapText="1" shrinkToFit="1"/>
      <protection locked="0"/>
    </xf>
    <xf numFmtId="176" fontId="13" fillId="2" borderId="0" xfId="0" applyNumberFormat="1" applyFont="1" applyFill="1" applyBorder="1" applyAlignment="1">
      <alignment horizontal="center" vertical="center"/>
    </xf>
    <xf numFmtId="176" fontId="13" fillId="2" borderId="1" xfId="0" applyNumberFormat="1" applyFont="1" applyFill="1" applyBorder="1" applyAlignment="1">
      <alignment horizontal="center"/>
    </xf>
    <xf numFmtId="176" fontId="13" fillId="2" borderId="0" xfId="0" applyNumberFormat="1" applyFont="1" applyFill="1" applyAlignment="1">
      <alignment horizontal="center"/>
    </xf>
    <xf numFmtId="0" fontId="5" fillId="0" borderId="0" xfId="0" applyFont="1" applyAlignment="1">
      <alignment vertical="center"/>
    </xf>
    <xf numFmtId="176" fontId="13" fillId="2" borderId="1" xfId="0" applyNumberFormat="1" applyFont="1" applyFill="1" applyBorder="1" applyAlignment="1">
      <alignment horizontal="center" vertical="center"/>
    </xf>
    <xf numFmtId="182" fontId="8" fillId="2" borderId="1" xfId="0" applyNumberFormat="1" applyFont="1" applyFill="1" applyBorder="1" applyAlignment="1">
      <alignment horizontal="center" vertical="center" shrinkToFit="1"/>
    </xf>
    <xf numFmtId="181" fontId="8" fillId="2" borderId="1" xfId="0" applyNumberFormat="1" applyFont="1" applyFill="1" applyBorder="1" applyAlignment="1">
      <alignment horizontal="center" vertical="center" shrinkToFit="1"/>
    </xf>
    <xf numFmtId="183" fontId="8" fillId="2" borderId="1" xfId="0" applyNumberFormat="1" applyFont="1" applyFill="1" applyBorder="1" applyAlignment="1">
      <alignment horizontal="center" vertical="center" shrinkToFit="1"/>
    </xf>
    <xf numFmtId="176" fontId="8" fillId="2" borderId="1" xfId="0" applyNumberFormat="1" applyFont="1" applyFill="1" applyBorder="1" applyAlignment="1">
      <alignment horizontal="center" vertical="center"/>
    </xf>
    <xf numFmtId="182" fontId="8" fillId="2" borderId="0" xfId="0" applyNumberFormat="1" applyFont="1" applyFill="1" applyAlignment="1">
      <alignment horizontal="center" vertical="center" shrinkToFit="1"/>
    </xf>
    <xf numFmtId="0" fontId="5" fillId="2" borderId="0" xfId="0" applyFont="1" applyFill="1" applyAlignment="1">
      <alignment vertical="center"/>
    </xf>
    <xf numFmtId="176" fontId="5" fillId="2" borderId="1" xfId="0" applyNumberFormat="1" applyFont="1" applyFill="1" applyBorder="1" applyAlignment="1">
      <alignment horizontal="center"/>
    </xf>
    <xf numFmtId="176" fontId="1" fillId="2" borderId="2" xfId="0" applyNumberFormat="1" applyFont="1" applyFill="1" applyBorder="1" applyAlignment="1">
      <alignment horizontal="center" vertical="center"/>
    </xf>
    <xf numFmtId="176" fontId="9" fillId="2" borderId="1" xfId="0" applyNumberFormat="1" applyFont="1" applyFill="1" applyBorder="1" applyAlignment="1">
      <alignment horizontal="center" vertical="center"/>
    </xf>
    <xf numFmtId="176" fontId="10" fillId="2" borderId="1" xfId="0" applyNumberFormat="1" applyFont="1" applyFill="1" applyBorder="1" applyAlignment="1">
      <alignment horizontal="center" vertical="center" wrapText="1"/>
    </xf>
    <xf numFmtId="176" fontId="1" fillId="2" borderId="1" xfId="8" applyNumberFormat="1" applyFont="1" applyFill="1" applyBorder="1" applyAlignment="1">
      <alignment horizontal="center" vertical="center"/>
    </xf>
    <xf numFmtId="176" fontId="5" fillId="2" borderId="0" xfId="0" applyNumberFormat="1" applyFont="1" applyFill="1" applyAlignment="1">
      <alignment horizontal="center"/>
    </xf>
    <xf numFmtId="176" fontId="5" fillId="2" borderId="1" xfId="0" applyNumberFormat="1" applyFont="1" applyFill="1" applyBorder="1" applyAlignment="1">
      <alignment horizontal="center" wrapText="1"/>
    </xf>
    <xf numFmtId="0" fontId="18" fillId="2" borderId="1" xfId="0" applyFont="1" applyFill="1" applyBorder="1" applyAlignment="1">
      <alignment horizontal="center" vertical="center"/>
    </xf>
    <xf numFmtId="176" fontId="8" fillId="2" borderId="1" xfId="0" applyNumberFormat="1" applyFont="1" applyFill="1" applyBorder="1" applyAlignment="1">
      <alignment horizontal="center" vertical="center" wrapText="1"/>
    </xf>
    <xf numFmtId="176" fontId="15" fillId="2" borderId="1" xfId="0" applyNumberFormat="1" applyFont="1" applyFill="1" applyBorder="1" applyAlignment="1">
      <alignment horizontal="center" vertical="center" wrapText="1"/>
    </xf>
    <xf numFmtId="181" fontId="15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center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76" fontId="17" fillId="2" borderId="1" xfId="10" applyNumberFormat="1" applyFont="1" applyFill="1" applyBorder="1" applyAlignment="1">
      <alignment horizontal="center" vertical="center" shrinkToFit="1"/>
    </xf>
    <xf numFmtId="176" fontId="17" fillId="2" borderId="1" xfId="10" applyNumberFormat="1" applyFont="1" applyFill="1" applyBorder="1" applyAlignment="1" applyProtection="1">
      <alignment horizontal="center" vertical="center" shrinkToFit="1"/>
      <protection locked="0"/>
    </xf>
    <xf numFmtId="176" fontId="17" fillId="2" borderId="1" xfId="10" applyNumberFormat="1" applyFont="1" applyFill="1" applyBorder="1" applyAlignment="1" applyProtection="1">
      <alignment horizontal="center" vertical="center" wrapText="1" shrinkToFit="1"/>
      <protection locked="0"/>
    </xf>
    <xf numFmtId="184" fontId="20" fillId="0" borderId="3" xfId="6" applyNumberFormat="1" applyFont="1" applyFill="1" applyBorder="1" applyAlignment="1">
      <alignment horizontal="center" vertical="center"/>
    </xf>
    <xf numFmtId="184" fontId="1" fillId="2" borderId="1" xfId="0" applyNumberFormat="1" applyFont="1" applyFill="1" applyBorder="1" applyAlignment="1">
      <alignment horizontal="center" vertical="center"/>
    </xf>
    <xf numFmtId="184" fontId="5" fillId="2" borderId="1" xfId="0" applyNumberFormat="1" applyFont="1" applyFill="1" applyBorder="1" applyAlignment="1">
      <alignment horizontal="center"/>
    </xf>
    <xf numFmtId="176" fontId="6" fillId="3" borderId="1" xfId="1" applyNumberFormat="1" applyFont="1" applyFill="1" applyBorder="1" applyAlignment="1">
      <alignment horizontal="center" vertical="center" wrapText="1"/>
    </xf>
    <xf numFmtId="177" fontId="16" fillId="3" borderId="1" xfId="1" applyFont="1" applyFill="1" applyBorder="1" applyAlignment="1">
      <alignment horizontal="center" vertical="center" wrapText="1"/>
    </xf>
    <xf numFmtId="177" fontId="12" fillId="2" borderId="1" xfId="0" applyNumberFormat="1" applyFont="1" applyFill="1" applyBorder="1" applyAlignment="1">
      <alignment horizontal="center" vertical="center" wrapText="1"/>
    </xf>
    <xf numFmtId="176" fontId="13" fillId="2" borderId="1" xfId="0" applyNumberFormat="1" applyFont="1" applyFill="1" applyBorder="1" applyAlignment="1">
      <alignment vertical="center"/>
    </xf>
    <xf numFmtId="180" fontId="13" fillId="2" borderId="1" xfId="0" applyNumberFormat="1" applyFont="1" applyFill="1" applyBorder="1" applyAlignment="1">
      <alignment horizontal="center" vertical="center"/>
    </xf>
    <xf numFmtId="176" fontId="21" fillId="2" borderId="1" xfId="10" applyNumberFormat="1" applyFont="1" applyFill="1" applyBorder="1" applyAlignment="1">
      <alignment horizontal="center" vertical="center" shrinkToFit="1"/>
    </xf>
    <xf numFmtId="0" fontId="13" fillId="2" borderId="1" xfId="0" applyFont="1" applyFill="1" applyBorder="1" applyAlignment="1">
      <alignment vertical="center"/>
    </xf>
    <xf numFmtId="0" fontId="13" fillId="0" borderId="0" xfId="0" applyFont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176" fontId="12" fillId="2" borderId="2" xfId="0" applyNumberFormat="1" applyFont="1" applyFill="1" applyBorder="1" applyAlignment="1">
      <alignment horizontal="center" vertical="center" wrapText="1"/>
    </xf>
    <xf numFmtId="176" fontId="22" fillId="2" borderId="1" xfId="0" applyNumberFormat="1" applyFont="1" applyFill="1" applyBorder="1" applyAlignment="1">
      <alignment horizontal="center" vertical="center"/>
    </xf>
    <xf numFmtId="177" fontId="8" fillId="2" borderId="1" xfId="1" applyFont="1" applyFill="1" applyBorder="1" applyAlignment="1">
      <alignment horizontal="center" vertical="center" wrapText="1"/>
    </xf>
    <xf numFmtId="184" fontId="9" fillId="2" borderId="1" xfId="0" applyNumberFormat="1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/>
    </xf>
    <xf numFmtId="182" fontId="23" fillId="2" borderId="1" xfId="0" applyNumberFormat="1" applyFont="1" applyFill="1" applyBorder="1" applyAlignment="1">
      <alignment horizontal="center" vertical="center" shrinkToFit="1"/>
    </xf>
    <xf numFmtId="182" fontId="1" fillId="2" borderId="1" xfId="0" applyNumberFormat="1" applyFont="1" applyFill="1" applyBorder="1" applyAlignment="1">
      <alignment horizontal="center" vertical="center" shrinkToFit="1"/>
    </xf>
    <xf numFmtId="49" fontId="23" fillId="2" borderId="1" xfId="0" applyNumberFormat="1" applyFont="1" applyFill="1" applyBorder="1" applyAlignment="1">
      <alignment horizontal="center" vertical="center"/>
    </xf>
    <xf numFmtId="184" fontId="20" fillId="0" borderId="4" xfId="6" applyNumberFormat="1" applyFont="1" applyFill="1" applyBorder="1" applyAlignment="1">
      <alignment horizontal="center" vertical="center"/>
    </xf>
    <xf numFmtId="184" fontId="5" fillId="2" borderId="2" xfId="0" applyNumberFormat="1" applyFont="1" applyFill="1" applyBorder="1" applyAlignment="1">
      <alignment horizontal="center"/>
    </xf>
    <xf numFmtId="185" fontId="0" fillId="2" borderId="1" xfId="0" applyNumberFormat="1" applyFill="1" applyBorder="1" applyAlignment="1">
      <alignment horizontal="center" vertical="center"/>
    </xf>
    <xf numFmtId="186" fontId="8" fillId="2" borderId="1" xfId="0" applyNumberFormat="1" applyFont="1" applyFill="1" applyBorder="1" applyAlignment="1">
      <alignment horizontal="center" vertical="center" shrinkToFit="1"/>
    </xf>
    <xf numFmtId="185" fontId="0" fillId="2" borderId="3" xfId="0" applyNumberFormat="1" applyFill="1" applyBorder="1" applyAlignment="1">
      <alignment horizontal="center" vertical="center"/>
    </xf>
    <xf numFmtId="184" fontId="1" fillId="2" borderId="1" xfId="8" applyNumberFormat="1" applyFont="1" applyFill="1" applyBorder="1" applyAlignment="1">
      <alignment horizontal="center" vertical="center"/>
    </xf>
  </cellXfs>
  <cellStyles count="11">
    <cellStyle name="常规" xfId="0" builtinId="0"/>
    <cellStyle name="常规 2" xfId="10"/>
    <cellStyle name="常规 3" xfId="8"/>
    <cellStyle name="一般 2" xfId="7"/>
    <cellStyle name="一般 3" xfId="1"/>
    <cellStyle name="一般 4" xfId="2"/>
    <cellStyle name="一般 5" xfId="6"/>
    <cellStyle name="一般 6" xfId="5"/>
    <cellStyle name="一般 7" xfId="9"/>
    <cellStyle name="一般 9" xfId="4"/>
    <cellStyle name="一般_Mibtech Tooling List_080627 2" xfId="3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40821</xdr:colOff>
      <xdr:row>48</xdr:row>
      <xdr:rowOff>27214</xdr:rowOff>
    </xdr:from>
    <xdr:to>
      <xdr:col>13</xdr:col>
      <xdr:colOff>2096507</xdr:colOff>
      <xdr:row>90</xdr:row>
      <xdr:rowOff>197592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821" y="15240000"/>
          <a:ext cx="13717007" cy="8742878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16</xdr:row>
      <xdr:rowOff>54429</xdr:rowOff>
    </xdr:from>
    <xdr:to>
      <xdr:col>13</xdr:col>
      <xdr:colOff>857251</xdr:colOff>
      <xdr:row>46</xdr:row>
      <xdr:rowOff>136072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7574" r="18666" b="32650"/>
        <a:stretch/>
      </xdr:blipFill>
      <xdr:spPr>
        <a:xfrm>
          <a:off x="68036" y="7388679"/>
          <a:ext cx="12450536" cy="6204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95250</xdr:rowOff>
    </xdr:from>
    <xdr:to>
      <xdr:col>20</xdr:col>
      <xdr:colOff>84011</xdr:colOff>
      <xdr:row>34</xdr:row>
      <xdr:rowOff>114301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669" b="12434"/>
        <a:stretch/>
      </xdr:blipFill>
      <xdr:spPr>
        <a:xfrm>
          <a:off x="85725" y="276225"/>
          <a:ext cx="13714286" cy="5991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47625</xdr:rowOff>
    </xdr:from>
    <xdr:to>
      <xdr:col>19</xdr:col>
      <xdr:colOff>684086</xdr:colOff>
      <xdr:row>54</xdr:row>
      <xdr:rowOff>114300</xdr:rowOff>
    </xdr:to>
    <xdr:pic>
      <xdr:nvPicPr>
        <xdr:cNvPr id="4" name="图片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47673" b="11432"/>
        <a:stretch/>
      </xdr:blipFill>
      <xdr:spPr>
        <a:xfrm>
          <a:off x="0" y="6381750"/>
          <a:ext cx="13714286" cy="3505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57151</xdr:rowOff>
    </xdr:from>
    <xdr:to>
      <xdr:col>19</xdr:col>
      <xdr:colOff>684086</xdr:colOff>
      <xdr:row>62</xdr:row>
      <xdr:rowOff>57151</xdr:rowOff>
    </xdr:to>
    <xdr:pic>
      <xdr:nvPicPr>
        <xdr:cNvPr id="5" name="图片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7563" b="25546"/>
        <a:stretch/>
      </xdr:blipFill>
      <xdr:spPr>
        <a:xfrm>
          <a:off x="0" y="9829801"/>
          <a:ext cx="13714286" cy="1447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19050</xdr:rowOff>
    </xdr:from>
    <xdr:to>
      <xdr:col>20</xdr:col>
      <xdr:colOff>17336</xdr:colOff>
      <xdr:row>31</xdr:row>
      <xdr:rowOff>9525</xdr:rowOff>
    </xdr:to>
    <xdr:pic>
      <xdr:nvPicPr>
        <xdr:cNvPr id="6" name="图片 5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779" b="21102"/>
        <a:stretch/>
      </xdr:blipFill>
      <xdr:spPr>
        <a:xfrm>
          <a:off x="19050" y="381000"/>
          <a:ext cx="13714286" cy="5238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9525</xdr:rowOff>
    </xdr:from>
    <xdr:to>
      <xdr:col>19</xdr:col>
      <xdr:colOff>684086</xdr:colOff>
      <xdr:row>54</xdr:row>
      <xdr:rowOff>171450</xdr:rowOff>
    </xdr:to>
    <xdr:pic>
      <xdr:nvPicPr>
        <xdr:cNvPr id="7" name="图片 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8782" b="10768"/>
        <a:stretch/>
      </xdr:blipFill>
      <xdr:spPr>
        <a:xfrm>
          <a:off x="0" y="5619750"/>
          <a:ext cx="13714286" cy="4324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66674</xdr:rowOff>
    </xdr:from>
    <xdr:to>
      <xdr:col>19</xdr:col>
      <xdr:colOff>684086</xdr:colOff>
      <xdr:row>82</xdr:row>
      <xdr:rowOff>38100</xdr:rowOff>
    </xdr:to>
    <xdr:pic>
      <xdr:nvPicPr>
        <xdr:cNvPr id="8" name="图片 7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36115" b="7210"/>
        <a:stretch/>
      </xdr:blipFill>
      <xdr:spPr>
        <a:xfrm>
          <a:off x="0" y="10020299"/>
          <a:ext cx="13714286" cy="4857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19050</xdr:rowOff>
    </xdr:from>
    <xdr:to>
      <xdr:col>19</xdr:col>
      <xdr:colOff>684086</xdr:colOff>
      <xdr:row>98</xdr:row>
      <xdr:rowOff>9525</xdr:rowOff>
    </xdr:to>
    <xdr:pic>
      <xdr:nvPicPr>
        <xdr:cNvPr id="9" name="图片 8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40005" b="26324"/>
        <a:stretch/>
      </xdr:blipFill>
      <xdr:spPr>
        <a:xfrm>
          <a:off x="0" y="14859000"/>
          <a:ext cx="13714286" cy="28860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61</xdr:row>
      <xdr:rowOff>22412</xdr:rowOff>
    </xdr:from>
    <xdr:to>
      <xdr:col>17</xdr:col>
      <xdr:colOff>1093661</xdr:colOff>
      <xdr:row>108</xdr:row>
      <xdr:rowOff>88015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976912"/>
          <a:ext cx="13722690" cy="8492427"/>
        </a:xfrm>
        <a:prstGeom prst="rect">
          <a:avLst/>
        </a:prstGeom>
      </xdr:spPr>
    </xdr:pic>
    <xdr:clientData/>
  </xdr:twoCellAnchor>
  <xdr:twoCellAnchor editAs="oneCell">
    <xdr:from>
      <xdr:col>0</xdr:col>
      <xdr:colOff>78440</xdr:colOff>
      <xdr:row>24</xdr:row>
      <xdr:rowOff>44823</xdr:rowOff>
    </xdr:from>
    <xdr:to>
      <xdr:col>16</xdr:col>
      <xdr:colOff>1412741</xdr:colOff>
      <xdr:row>58</xdr:row>
      <xdr:rowOff>153680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7574" r="18666" b="32650"/>
        <a:stretch/>
      </xdr:blipFill>
      <xdr:spPr>
        <a:xfrm>
          <a:off x="78440" y="10365441"/>
          <a:ext cx="12450536" cy="62048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123825</xdr:rowOff>
    </xdr:from>
    <xdr:to>
      <xdr:col>8</xdr:col>
      <xdr:colOff>352425</xdr:colOff>
      <xdr:row>32</xdr:row>
      <xdr:rowOff>38100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8224" r="57634" b="19434"/>
        <a:stretch/>
      </xdr:blipFill>
      <xdr:spPr>
        <a:xfrm>
          <a:off x="28575" y="485775"/>
          <a:ext cx="5810250" cy="5343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CS11"/>
  <sheetViews>
    <sheetView tabSelected="1" zoomScale="70" zoomScaleNormal="70" workbookViewId="0">
      <selection activeCell="M10" sqref="M10"/>
    </sheetView>
  </sheetViews>
  <sheetFormatPr defaultColWidth="9" defaultRowHeight="15.75"/>
  <cols>
    <col min="1" max="1" width="7" style="42" customWidth="1"/>
    <col min="2" max="2" width="10.625" style="42" customWidth="1"/>
    <col min="3" max="3" width="7.875" style="42" customWidth="1"/>
    <col min="4" max="4" width="11.875" style="42" customWidth="1"/>
    <col min="5" max="5" width="6.875" style="42" customWidth="1"/>
    <col min="6" max="6" width="9" style="42"/>
    <col min="7" max="7" width="12.625" style="42" customWidth="1"/>
    <col min="8" max="8" width="18.375" style="42" customWidth="1"/>
    <col min="9" max="9" width="14.125" style="42" customWidth="1"/>
    <col min="10" max="10" width="13.375" style="42" customWidth="1"/>
    <col min="11" max="11" width="14" style="42" customWidth="1"/>
    <col min="12" max="13" width="13.625" style="42" customWidth="1"/>
    <col min="14" max="14" width="30.25" style="42" customWidth="1"/>
    <col min="15" max="16" width="9" style="66"/>
    <col min="17" max="17" width="25.125" style="14" customWidth="1"/>
    <col min="18" max="18" width="29.875" style="81" customWidth="1"/>
    <col min="19" max="19" width="34.375" style="14" customWidth="1"/>
    <col min="20" max="16384" width="9" style="42"/>
  </cols>
  <sheetData>
    <row r="1" spans="1:16321" s="26" customFormat="1" ht="42" customHeight="1">
      <c r="A1" s="23" t="s">
        <v>8</v>
      </c>
      <c r="B1" s="24" t="s">
        <v>0</v>
      </c>
      <c r="C1" s="24" t="s">
        <v>1</v>
      </c>
      <c r="D1" s="24" t="s">
        <v>2</v>
      </c>
      <c r="E1" s="24" t="s">
        <v>3</v>
      </c>
      <c r="F1" s="25" t="s">
        <v>4</v>
      </c>
      <c r="G1" s="25" t="s">
        <v>5</v>
      </c>
      <c r="H1" s="23" t="s">
        <v>6</v>
      </c>
      <c r="I1" s="75" t="s">
        <v>156</v>
      </c>
      <c r="J1" s="75" t="s">
        <v>219</v>
      </c>
      <c r="K1" s="25" t="s">
        <v>208</v>
      </c>
      <c r="L1" s="85" t="s">
        <v>215</v>
      </c>
      <c r="M1" s="85" t="s">
        <v>216</v>
      </c>
      <c r="N1" s="25" t="s">
        <v>7</v>
      </c>
      <c r="O1" s="2" t="s">
        <v>158</v>
      </c>
      <c r="P1" s="2" t="s">
        <v>159</v>
      </c>
      <c r="Q1" s="25" t="s">
        <v>7</v>
      </c>
      <c r="R1" s="25" t="s">
        <v>160</v>
      </c>
      <c r="S1" s="43" t="s">
        <v>161</v>
      </c>
    </row>
    <row r="2" spans="1:16321" s="33" customFormat="1" ht="43.5" customHeight="1">
      <c r="A2" s="27">
        <v>1</v>
      </c>
      <c r="B2" s="28" t="s">
        <v>82</v>
      </c>
      <c r="C2" s="29" t="s">
        <v>9</v>
      </c>
      <c r="D2" s="30" t="s">
        <v>10</v>
      </c>
      <c r="E2" s="29">
        <v>24</v>
      </c>
      <c r="F2" s="31" t="s">
        <v>11</v>
      </c>
      <c r="G2" s="31" t="s">
        <v>144</v>
      </c>
      <c r="H2" s="32" t="s">
        <v>207</v>
      </c>
      <c r="I2" s="71">
        <f>((52.9/3600*E2/4)*1.13)/2</f>
        <v>4.9814166666666666E-2</v>
      </c>
      <c r="J2" s="71"/>
      <c r="K2" s="83" t="s">
        <v>209</v>
      </c>
      <c r="L2" s="83"/>
      <c r="M2" s="83"/>
      <c r="N2" s="3" t="s">
        <v>12</v>
      </c>
      <c r="O2" s="51">
        <v>1</v>
      </c>
      <c r="P2" s="51">
        <v>1</v>
      </c>
      <c r="Q2" s="3" t="s">
        <v>12</v>
      </c>
      <c r="R2" s="76" t="s">
        <v>162</v>
      </c>
      <c r="S2" s="43"/>
    </row>
    <row r="3" spans="1:16321" s="35" customFormat="1" ht="28.5">
      <c r="A3" s="27">
        <v>2</v>
      </c>
      <c r="B3" s="3">
        <v>3338</v>
      </c>
      <c r="C3" s="3">
        <v>8</v>
      </c>
      <c r="D3" s="3" t="s">
        <v>25</v>
      </c>
      <c r="E3" s="3">
        <v>25</v>
      </c>
      <c r="F3" s="6" t="s">
        <v>26</v>
      </c>
      <c r="G3" s="6" t="s">
        <v>27</v>
      </c>
      <c r="H3" s="7" t="s">
        <v>147</v>
      </c>
      <c r="I3" s="71">
        <f>(52.9/3600*E3/C3)*1.13</f>
        <v>5.1889756944444435E-2</v>
      </c>
      <c r="J3" s="71"/>
      <c r="K3" s="83" t="s">
        <v>210</v>
      </c>
      <c r="L3" s="83"/>
      <c r="M3" s="83"/>
      <c r="N3" s="6" t="s">
        <v>28</v>
      </c>
      <c r="O3" s="51">
        <v>1</v>
      </c>
      <c r="P3" s="51">
        <v>1</v>
      </c>
      <c r="Q3" s="6" t="s">
        <v>163</v>
      </c>
      <c r="R3" s="43" t="s">
        <v>164</v>
      </c>
      <c r="S3" s="77" t="s">
        <v>165</v>
      </c>
    </row>
    <row r="4" spans="1:16321" s="39" customFormat="1" ht="36" customHeight="1">
      <c r="A4" s="27">
        <v>3</v>
      </c>
      <c r="B4" s="6">
        <v>3334</v>
      </c>
      <c r="C4" s="3">
        <v>8</v>
      </c>
      <c r="D4" s="3" t="s">
        <v>29</v>
      </c>
      <c r="E4" s="36">
        <v>28</v>
      </c>
      <c r="F4" s="37" t="s">
        <v>26</v>
      </c>
      <c r="G4" s="37" t="s">
        <v>30</v>
      </c>
      <c r="H4" s="38" t="s">
        <v>145</v>
      </c>
      <c r="I4" s="71">
        <f>(68.4/3600*E4/C4)*1.13</f>
        <v>7.5145000000000003E-2</v>
      </c>
      <c r="J4" s="71"/>
      <c r="K4" s="83" t="s">
        <v>209</v>
      </c>
      <c r="L4" s="83"/>
      <c r="M4" s="83"/>
      <c r="N4" s="6" t="s">
        <v>31</v>
      </c>
      <c r="O4" s="51">
        <v>1</v>
      </c>
      <c r="P4" s="51">
        <v>1</v>
      </c>
      <c r="Q4" s="6" t="s">
        <v>166</v>
      </c>
      <c r="R4" s="8" t="s">
        <v>167</v>
      </c>
      <c r="S4" s="43" t="s">
        <v>168</v>
      </c>
    </row>
    <row r="5" spans="1:16321" s="41" customFormat="1" ht="42" customHeight="1">
      <c r="A5" s="27">
        <v>4</v>
      </c>
      <c r="B5" s="3">
        <v>8372</v>
      </c>
      <c r="C5" s="3" t="s">
        <v>32</v>
      </c>
      <c r="D5" s="3" t="s">
        <v>23</v>
      </c>
      <c r="E5" s="3">
        <v>26</v>
      </c>
      <c r="F5" s="3" t="s">
        <v>33</v>
      </c>
      <c r="G5" s="6" t="s">
        <v>34</v>
      </c>
      <c r="H5" s="6" t="s">
        <v>148</v>
      </c>
      <c r="I5" s="71">
        <f>((50.7/3600*E5/2)*1.13)/2</f>
        <v>0.10344208333333334</v>
      </c>
      <c r="J5" s="71"/>
      <c r="K5" s="84" t="s">
        <v>211</v>
      </c>
      <c r="L5" s="86">
        <v>0.10299999999999999</v>
      </c>
      <c r="M5" s="86">
        <v>0.10299999999999999</v>
      </c>
      <c r="N5" s="6" t="s">
        <v>35</v>
      </c>
      <c r="O5" s="3">
        <v>1</v>
      </c>
      <c r="P5" s="3">
        <v>1</v>
      </c>
      <c r="Q5" s="6" t="s">
        <v>169</v>
      </c>
      <c r="R5" s="3" t="s">
        <v>170</v>
      </c>
      <c r="S5" s="77" t="s">
        <v>171</v>
      </c>
    </row>
    <row r="6" spans="1:16321" ht="36.75" customHeight="1">
      <c r="A6" s="27">
        <v>5</v>
      </c>
      <c r="B6" s="5">
        <v>8371</v>
      </c>
      <c r="C6" s="3">
        <v>2</v>
      </c>
      <c r="D6" s="3" t="s">
        <v>36</v>
      </c>
      <c r="E6" s="3">
        <v>24</v>
      </c>
      <c r="F6" s="3" t="s">
        <v>37</v>
      </c>
      <c r="G6" s="6" t="s">
        <v>38</v>
      </c>
      <c r="H6" s="7" t="s">
        <v>149</v>
      </c>
      <c r="I6" s="71">
        <f>(50.7/3600*E6/C6)*1.13</f>
        <v>0.19097</v>
      </c>
      <c r="J6" s="71"/>
      <c r="K6" s="84" t="s">
        <v>212</v>
      </c>
      <c r="L6" s="86">
        <v>0.191</v>
      </c>
      <c r="M6" s="86">
        <v>0.191</v>
      </c>
      <c r="N6" s="8" t="s">
        <v>39</v>
      </c>
      <c r="O6" s="3">
        <v>1</v>
      </c>
      <c r="P6" s="3">
        <v>1</v>
      </c>
      <c r="Q6" s="8" t="s">
        <v>39</v>
      </c>
      <c r="R6" s="8" t="s">
        <v>172</v>
      </c>
      <c r="S6" s="77" t="s">
        <v>173</v>
      </c>
    </row>
    <row r="7" spans="1:16321" s="13" customFormat="1" ht="44.25" customHeight="1">
      <c r="A7" s="27">
        <v>6</v>
      </c>
      <c r="B7" s="3">
        <v>2803</v>
      </c>
      <c r="C7" s="9">
        <v>2</v>
      </c>
      <c r="D7" s="9" t="s">
        <v>40</v>
      </c>
      <c r="E7" s="10">
        <v>35</v>
      </c>
      <c r="F7" s="9" t="s">
        <v>41</v>
      </c>
      <c r="G7" s="1" t="s">
        <v>42</v>
      </c>
      <c r="H7" s="11" t="s">
        <v>154</v>
      </c>
      <c r="I7" s="71">
        <f>(61.2/3600*E7/C7)*1.13</f>
        <v>0.336175</v>
      </c>
      <c r="J7" s="71">
        <f>(67.6/3600*E7/C7)*1.13</f>
        <v>0.3713305555555555</v>
      </c>
      <c r="K7" s="83" t="s">
        <v>209</v>
      </c>
      <c r="L7" s="83"/>
      <c r="M7" s="83"/>
      <c r="N7" s="9" t="s">
        <v>43</v>
      </c>
      <c r="O7" s="3">
        <v>1</v>
      </c>
      <c r="P7" s="3">
        <v>1</v>
      </c>
      <c r="Q7" s="9" t="s">
        <v>43</v>
      </c>
      <c r="R7" s="9" t="s">
        <v>174</v>
      </c>
      <c r="S7" s="9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</row>
    <row r="8" spans="1:16321" s="20" customFormat="1" ht="45" customHeight="1">
      <c r="A8" s="27">
        <v>7</v>
      </c>
      <c r="B8" s="16">
        <v>2376</v>
      </c>
      <c r="C8" s="3">
        <v>8</v>
      </c>
      <c r="D8" s="17" t="s">
        <v>44</v>
      </c>
      <c r="E8" s="3">
        <v>50</v>
      </c>
      <c r="F8" s="17" t="s">
        <v>45</v>
      </c>
      <c r="G8" s="18" t="s">
        <v>46</v>
      </c>
      <c r="H8" s="18" t="s">
        <v>146</v>
      </c>
      <c r="I8" s="71">
        <f>(73.44/3600*E8/C8)*1.13</f>
        <v>0.14407499999999995</v>
      </c>
      <c r="J8" s="71">
        <f>(81.2/3600*E8/C8)*1.13</f>
        <v>0.15929861111111113</v>
      </c>
      <c r="K8" s="83" t="s">
        <v>209</v>
      </c>
      <c r="L8" s="83"/>
      <c r="M8" s="83"/>
      <c r="N8" s="19" t="s">
        <v>47</v>
      </c>
      <c r="O8" s="3">
        <v>1</v>
      </c>
      <c r="P8" s="3">
        <v>1</v>
      </c>
      <c r="Q8" s="19" t="s">
        <v>47</v>
      </c>
      <c r="R8" s="19" t="s">
        <v>175</v>
      </c>
      <c r="S8" s="78" t="s">
        <v>176</v>
      </c>
    </row>
    <row r="9" spans="1:16321" s="20" customFormat="1" ht="61.5" customHeight="1">
      <c r="A9" s="27">
        <v>8</v>
      </c>
      <c r="B9" s="21">
        <v>1891</v>
      </c>
      <c r="C9" s="3">
        <v>2</v>
      </c>
      <c r="D9" s="17" t="s">
        <v>48</v>
      </c>
      <c r="E9" s="3">
        <v>34</v>
      </c>
      <c r="F9" s="17" t="s">
        <v>49</v>
      </c>
      <c r="G9" s="18" t="s">
        <v>50</v>
      </c>
      <c r="H9" s="18" t="s">
        <v>222</v>
      </c>
      <c r="I9" s="71">
        <f>(61.2/3600*E9/C9)*1.13</f>
        <v>0.32657000000000003</v>
      </c>
      <c r="J9" s="71">
        <f>(67.6/3600*E9/C9)*1.13</f>
        <v>0.36072111111111105</v>
      </c>
      <c r="K9" s="83" t="s">
        <v>209</v>
      </c>
      <c r="L9" s="83"/>
      <c r="M9" s="83"/>
      <c r="N9" s="22" t="s">
        <v>51</v>
      </c>
      <c r="O9" s="3">
        <v>1</v>
      </c>
      <c r="P9" s="3">
        <v>1</v>
      </c>
      <c r="Q9" s="22" t="s">
        <v>177</v>
      </c>
      <c r="R9" s="8" t="s">
        <v>178</v>
      </c>
      <c r="S9" s="78" t="s">
        <v>179</v>
      </c>
    </row>
    <row r="10" spans="1:16321" s="15" customFormat="1" ht="86.25" customHeight="1">
      <c r="A10" s="27">
        <v>9</v>
      </c>
      <c r="B10" s="4">
        <v>3241</v>
      </c>
      <c r="C10" s="4">
        <v>2</v>
      </c>
      <c r="D10" s="4">
        <v>150</v>
      </c>
      <c r="E10" s="4">
        <v>29</v>
      </c>
      <c r="F10" s="4" t="s">
        <v>66</v>
      </c>
      <c r="G10" s="4" t="s">
        <v>67</v>
      </c>
      <c r="H10" s="4" t="s">
        <v>155</v>
      </c>
      <c r="I10" s="71">
        <f>((68.4+7)/3600*E10/C10)*1.13</f>
        <v>0.34317472222222223</v>
      </c>
      <c r="J10" s="71"/>
      <c r="K10" s="83" t="s">
        <v>209</v>
      </c>
      <c r="L10" s="83"/>
      <c r="M10" s="83"/>
      <c r="N10" s="4" t="s">
        <v>68</v>
      </c>
      <c r="O10" s="40">
        <v>1</v>
      </c>
      <c r="P10" s="40">
        <v>1</v>
      </c>
      <c r="Q10" s="4" t="s">
        <v>180</v>
      </c>
      <c r="R10" s="8" t="s">
        <v>181</v>
      </c>
      <c r="S10" s="4"/>
    </row>
    <row r="11" spans="1:16321" s="49" customFormat="1" ht="31.5">
      <c r="A11" s="27">
        <v>10</v>
      </c>
      <c r="B11" s="68">
        <v>2179</v>
      </c>
      <c r="C11" s="69">
        <v>8</v>
      </c>
      <c r="D11" s="68">
        <v>100</v>
      </c>
      <c r="E11" s="68">
        <v>23</v>
      </c>
      <c r="F11" s="70" t="s">
        <v>73</v>
      </c>
      <c r="G11" s="70" t="s">
        <v>74</v>
      </c>
      <c r="H11" s="70" t="s">
        <v>221</v>
      </c>
      <c r="I11" s="71">
        <f>(48.96/3600*E11/C11)*1.13</f>
        <v>4.4183E-2</v>
      </c>
      <c r="J11" s="71">
        <f>(49/3600*E11/C11)*1.13</f>
        <v>4.4219097222222212E-2</v>
      </c>
      <c r="K11" s="8" t="s">
        <v>210</v>
      </c>
      <c r="L11" s="8"/>
      <c r="M11" s="8"/>
      <c r="N11" s="68" t="s">
        <v>75</v>
      </c>
      <c r="O11" s="40">
        <v>1</v>
      </c>
      <c r="P11" s="40">
        <v>1</v>
      </c>
      <c r="Q11" s="79" t="s">
        <v>182</v>
      </c>
      <c r="R11" s="79" t="s">
        <v>183</v>
      </c>
      <c r="S11" s="80"/>
    </row>
  </sheetData>
  <protectedRanges>
    <protectedRange sqref="B4" name="範圍1_1_1"/>
    <protectedRange sqref="G4" name="範圍1_3_1"/>
    <protectedRange sqref="N4" name="範圍1_1_2_1"/>
    <protectedRange sqref="N6" name="範圍1_1_2_3"/>
    <protectedRange sqref="G6" name="範圍1_3_3"/>
    <protectedRange sqref="N6" name="範圍1_1_2_2_2_2"/>
    <protectedRange sqref="Q4" name="範圍1_1_2_1_1"/>
    <protectedRange sqref="Q6" name="範圍1_1_2_3_1"/>
    <protectedRange sqref="Q6" name="範圍1_1_2_2_2_2_1"/>
  </protectedRanges>
  <phoneticPr fontId="2" type="noConversion"/>
  <conditionalFormatting sqref="E10">
    <cfRule type="duplicateValues" dxfId="1" priority="2" stopIfTrue="1"/>
  </conditionalFormatting>
  <conditionalFormatting sqref="H10">
    <cfRule type="duplicateValues" dxfId="0" priority="1" stopIfTrue="1"/>
  </conditionalFormatting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J67" sqref="J67"/>
    </sheetView>
  </sheetViews>
  <sheetFormatPr defaultRowHeight="14.25"/>
  <sheetData/>
  <phoneticPr fontId="2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129" sqref="H129"/>
    </sheetView>
  </sheetViews>
  <sheetFormatPr defaultRowHeight="14.25"/>
  <sheetData/>
  <phoneticPr fontId="2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"/>
  <sheetViews>
    <sheetView topLeftCell="A16" zoomScale="85" zoomScaleNormal="85" workbookViewId="0">
      <selection activeCell="M8" sqref="M8"/>
    </sheetView>
  </sheetViews>
  <sheetFormatPr defaultColWidth="9" defaultRowHeight="14.25"/>
  <cols>
    <col min="1" max="1" width="7" style="66" customWidth="1"/>
    <col min="2" max="2" width="15.125" style="66" customWidth="1"/>
    <col min="3" max="3" width="5.25" style="66" customWidth="1"/>
    <col min="4" max="5" width="9" style="66"/>
    <col min="6" max="6" width="11.125" style="66" customWidth="1"/>
    <col min="7" max="7" width="13.125" style="66" customWidth="1"/>
    <col min="8" max="8" width="15.75" style="66" customWidth="1"/>
    <col min="9" max="9" width="0" style="66" hidden="1" customWidth="1"/>
    <col min="10" max="10" width="1.125" style="66" hidden="1" customWidth="1"/>
    <col min="11" max="11" width="10.875" style="66" customWidth="1"/>
    <col min="12" max="12" width="12.25" style="66" customWidth="1"/>
    <col min="13" max="13" width="9.25" style="66" customWidth="1"/>
    <col min="14" max="14" width="11.25" style="66" customWidth="1"/>
    <col min="15" max="16" width="8.375" style="66" customWidth="1"/>
    <col min="17" max="17" width="19.875" style="67" customWidth="1"/>
    <col min="18" max="18" width="16.125" style="66" customWidth="1"/>
    <col min="19" max="20" width="9" style="66"/>
    <col min="21" max="21" width="13.875" style="66" customWidth="1"/>
    <col min="22" max="23" width="9" style="66"/>
    <col min="24" max="24" width="24.75" style="66" customWidth="1"/>
    <col min="25" max="25" width="9" style="66" hidden="1" customWidth="1"/>
    <col min="26" max="16384" width="9" style="66"/>
  </cols>
  <sheetData>
    <row r="1" spans="1:26" s="55" customFormat="1" ht="99.75">
      <c r="A1" s="50" t="s">
        <v>83</v>
      </c>
      <c r="B1" s="2" t="s">
        <v>13</v>
      </c>
      <c r="C1" s="2" t="s">
        <v>84</v>
      </c>
      <c r="D1" s="2" t="s">
        <v>85</v>
      </c>
      <c r="E1" s="2" t="s">
        <v>86</v>
      </c>
      <c r="F1" s="2" t="s">
        <v>14</v>
      </c>
      <c r="G1" s="2" t="s">
        <v>5</v>
      </c>
      <c r="H1" s="2" t="s">
        <v>6</v>
      </c>
      <c r="I1" s="2" t="s">
        <v>15</v>
      </c>
      <c r="J1" s="2" t="s">
        <v>87</v>
      </c>
      <c r="K1" s="74" t="s">
        <v>157</v>
      </c>
      <c r="L1" s="75" t="s">
        <v>219</v>
      </c>
      <c r="M1" s="25" t="s">
        <v>220</v>
      </c>
      <c r="N1" s="25" t="s">
        <v>213</v>
      </c>
      <c r="O1" s="85" t="s">
        <v>215</v>
      </c>
      <c r="P1" s="85" t="s">
        <v>216</v>
      </c>
      <c r="Q1" s="2" t="s">
        <v>16</v>
      </c>
      <c r="R1" s="2" t="s">
        <v>17</v>
      </c>
      <c r="S1" s="2" t="s">
        <v>158</v>
      </c>
      <c r="T1" s="2" t="s">
        <v>159</v>
      </c>
      <c r="U1" s="2" t="s">
        <v>184</v>
      </c>
      <c r="V1" s="2" t="s">
        <v>185</v>
      </c>
      <c r="W1" s="2" t="s">
        <v>186</v>
      </c>
      <c r="X1" s="3" t="s">
        <v>187</v>
      </c>
      <c r="Y1" s="3" t="s">
        <v>218</v>
      </c>
      <c r="Z1" s="3" t="s">
        <v>217</v>
      </c>
    </row>
    <row r="2" spans="1:26" s="55" customFormat="1" ht="28.5">
      <c r="A2" s="34">
        <v>1</v>
      </c>
      <c r="B2" s="3">
        <v>802719063356</v>
      </c>
      <c r="C2" s="3">
        <v>4</v>
      </c>
      <c r="D2" s="3" t="s">
        <v>88</v>
      </c>
      <c r="E2" s="3">
        <v>28</v>
      </c>
      <c r="F2" s="6" t="s">
        <v>11</v>
      </c>
      <c r="G2" s="6" t="s">
        <v>89</v>
      </c>
      <c r="H2" s="6" t="s">
        <v>141</v>
      </c>
      <c r="I2" s="3">
        <v>10.6</v>
      </c>
      <c r="J2" s="3">
        <v>4.9000000000000004</v>
      </c>
      <c r="K2" s="71">
        <f>(72.8/3600*E2/C2)*1.13</f>
        <v>0.15995777777777775</v>
      </c>
      <c r="L2" s="71"/>
      <c r="M2" s="91"/>
      <c r="N2" s="83" t="s">
        <v>214</v>
      </c>
      <c r="O2" s="83"/>
      <c r="P2" s="83"/>
      <c r="Q2" s="6" t="s">
        <v>19</v>
      </c>
      <c r="R2" s="3" t="s">
        <v>90</v>
      </c>
      <c r="S2" s="51">
        <v>1</v>
      </c>
      <c r="T2" s="51">
        <v>1</v>
      </c>
      <c r="U2" s="3" t="s">
        <v>188</v>
      </c>
      <c r="V2" s="3"/>
      <c r="W2" s="3">
        <v>15000</v>
      </c>
      <c r="X2" s="3" t="s">
        <v>189</v>
      </c>
      <c r="Z2" s="50"/>
    </row>
    <row r="3" spans="1:26" s="55" customFormat="1" ht="28.5">
      <c r="A3" s="34">
        <v>2</v>
      </c>
      <c r="B3" s="3">
        <v>802717062968</v>
      </c>
      <c r="C3" s="3">
        <v>4</v>
      </c>
      <c r="D3" s="52" t="s">
        <v>18</v>
      </c>
      <c r="E3" s="6">
        <v>30</v>
      </c>
      <c r="F3" s="6" t="s">
        <v>20</v>
      </c>
      <c r="G3" s="6" t="s">
        <v>21</v>
      </c>
      <c r="H3" s="53" t="s">
        <v>153</v>
      </c>
      <c r="I3" s="3">
        <v>8.98</v>
      </c>
      <c r="J3" s="3">
        <v>1.8</v>
      </c>
      <c r="K3" s="71">
        <f>(72.8/3600*E3/C3)*1.13</f>
        <v>0.17138333333333333</v>
      </c>
      <c r="L3" s="71"/>
      <c r="M3" s="91"/>
      <c r="N3" s="83" t="s">
        <v>214</v>
      </c>
      <c r="O3" s="83"/>
      <c r="P3" s="83"/>
      <c r="Q3" s="6" t="s">
        <v>22</v>
      </c>
      <c r="R3" s="3" t="s">
        <v>91</v>
      </c>
      <c r="S3" s="51">
        <v>1</v>
      </c>
      <c r="T3" s="51">
        <v>1</v>
      </c>
      <c r="U3" s="3" t="s">
        <v>190</v>
      </c>
      <c r="V3" s="3"/>
      <c r="W3" s="3">
        <v>50000</v>
      </c>
      <c r="X3" s="3" t="s">
        <v>191</v>
      </c>
      <c r="Z3" s="50"/>
    </row>
    <row r="4" spans="1:26" s="55" customFormat="1" ht="28.5">
      <c r="A4" s="34">
        <v>3</v>
      </c>
      <c r="B4" s="3">
        <v>800511121887</v>
      </c>
      <c r="C4" s="3">
        <v>8</v>
      </c>
      <c r="D4" s="52" t="s">
        <v>92</v>
      </c>
      <c r="E4" s="6">
        <v>24</v>
      </c>
      <c r="F4" s="3" t="s">
        <v>93</v>
      </c>
      <c r="G4" s="6" t="s">
        <v>24</v>
      </c>
      <c r="H4" s="53">
        <v>101140005003</v>
      </c>
      <c r="I4" s="3">
        <v>0.25</v>
      </c>
      <c r="J4" s="3">
        <v>0.25</v>
      </c>
      <c r="K4" s="71">
        <f>(42.84/3600*E4/C4)*1.13</f>
        <v>4.0341000000000002E-2</v>
      </c>
      <c r="L4" s="71">
        <f>(46.3/3600*E4/C4)*1.13</f>
        <v>4.3599166666666661E-2</v>
      </c>
      <c r="M4" s="71"/>
      <c r="N4" s="84" t="s">
        <v>223</v>
      </c>
      <c r="O4" s="86">
        <v>4.3999999999999997E-2</v>
      </c>
      <c r="P4" s="86">
        <v>4.3999999999999997E-2</v>
      </c>
      <c r="Q4" s="6" t="s">
        <v>94</v>
      </c>
      <c r="R4" s="3"/>
      <c r="S4" s="51">
        <v>1</v>
      </c>
      <c r="T4" s="51">
        <v>1</v>
      </c>
      <c r="U4" s="3" t="s">
        <v>192</v>
      </c>
      <c r="V4" s="3"/>
      <c r="W4" s="3">
        <v>10000</v>
      </c>
      <c r="X4" s="3"/>
      <c r="Z4" s="50"/>
    </row>
    <row r="5" spans="1:26" s="55" customFormat="1" ht="42.75">
      <c r="A5" s="50">
        <v>4</v>
      </c>
      <c r="B5" s="6">
        <v>800520073491</v>
      </c>
      <c r="C5" s="3">
        <v>4</v>
      </c>
      <c r="D5" s="3">
        <v>100</v>
      </c>
      <c r="E5" s="6">
        <v>30</v>
      </c>
      <c r="F5" s="3" t="s">
        <v>95</v>
      </c>
      <c r="G5" s="6" t="s">
        <v>96</v>
      </c>
      <c r="H5" s="6" t="s">
        <v>150</v>
      </c>
      <c r="I5" s="50">
        <v>0.8</v>
      </c>
      <c r="J5" s="3">
        <v>2.1</v>
      </c>
      <c r="K5" s="72">
        <f>(52.9/3600*E5/C5)*1.13</f>
        <v>0.12453541666666665</v>
      </c>
      <c r="L5" s="72"/>
      <c r="M5" s="72"/>
      <c r="N5" s="54" t="s">
        <v>224</v>
      </c>
      <c r="O5" s="54"/>
      <c r="P5" s="96">
        <v>0.12453541666666665</v>
      </c>
      <c r="Q5" s="6" t="s">
        <v>97</v>
      </c>
      <c r="R5" s="54" t="s">
        <v>98</v>
      </c>
      <c r="S5" s="3">
        <v>1</v>
      </c>
      <c r="T5" s="3">
        <v>1</v>
      </c>
      <c r="U5" s="3" t="s">
        <v>193</v>
      </c>
      <c r="V5" s="3"/>
      <c r="W5" s="3">
        <v>4000</v>
      </c>
      <c r="X5" s="3" t="s">
        <v>189</v>
      </c>
      <c r="Z5" s="50"/>
    </row>
    <row r="6" spans="1:26" s="55" customFormat="1" ht="42.75">
      <c r="A6" s="50">
        <v>5</v>
      </c>
      <c r="B6" s="6">
        <v>800520073488</v>
      </c>
      <c r="C6" s="3">
        <v>4</v>
      </c>
      <c r="D6" s="3">
        <v>125</v>
      </c>
      <c r="E6" s="3">
        <v>21</v>
      </c>
      <c r="F6" s="3" t="s">
        <v>53</v>
      </c>
      <c r="G6" s="6" t="s">
        <v>99</v>
      </c>
      <c r="H6" s="6" t="s">
        <v>54</v>
      </c>
      <c r="I6" s="50">
        <v>0.35</v>
      </c>
      <c r="J6" s="3">
        <v>0.45</v>
      </c>
      <c r="K6" s="72">
        <f>(57.3/3600*E6/C6)*1.13</f>
        <v>9.4425624999999985E-2</v>
      </c>
      <c r="L6" s="72"/>
      <c r="M6" s="72"/>
      <c r="N6" s="54" t="s">
        <v>224</v>
      </c>
      <c r="O6" s="54"/>
      <c r="P6" s="96">
        <v>9.4425624999999985E-2</v>
      </c>
      <c r="Q6" s="6" t="s">
        <v>100</v>
      </c>
      <c r="R6" s="54" t="s">
        <v>101</v>
      </c>
      <c r="S6" s="3">
        <v>1</v>
      </c>
      <c r="T6" s="3">
        <v>1</v>
      </c>
      <c r="U6" s="6" t="s">
        <v>194</v>
      </c>
      <c r="V6" s="3"/>
      <c r="W6" s="3">
        <v>4000</v>
      </c>
      <c r="X6" s="3" t="s">
        <v>189</v>
      </c>
      <c r="Z6" s="50"/>
    </row>
    <row r="7" spans="1:26" s="55" customFormat="1" ht="28.5">
      <c r="A7" s="50">
        <v>6</v>
      </c>
      <c r="B7" s="3">
        <v>800520073496</v>
      </c>
      <c r="C7" s="3">
        <v>4</v>
      </c>
      <c r="D7" s="3">
        <v>200</v>
      </c>
      <c r="E7" s="3">
        <v>25</v>
      </c>
      <c r="F7" s="3" t="s">
        <v>102</v>
      </c>
      <c r="G7" s="6" t="s">
        <v>103</v>
      </c>
      <c r="H7" s="6" t="s">
        <v>55</v>
      </c>
      <c r="I7" s="50">
        <v>3.01</v>
      </c>
      <c r="J7" s="3">
        <v>0.7</v>
      </c>
      <c r="K7" s="72">
        <f>(73.1/3600*E7/C7)*1.13</f>
        <v>0.14340798611111108</v>
      </c>
      <c r="L7" s="72"/>
      <c r="M7" s="72"/>
      <c r="N7" s="54" t="s">
        <v>224</v>
      </c>
      <c r="O7" s="54"/>
      <c r="P7" s="96">
        <v>0.14340798611111108</v>
      </c>
      <c r="Q7" s="6" t="s">
        <v>56</v>
      </c>
      <c r="R7" s="54" t="s">
        <v>104</v>
      </c>
      <c r="S7" s="3">
        <v>1</v>
      </c>
      <c r="T7" s="3">
        <v>1</v>
      </c>
      <c r="U7" s="3" t="s">
        <v>195</v>
      </c>
      <c r="V7" s="3"/>
      <c r="W7" s="3">
        <v>4000</v>
      </c>
      <c r="X7" s="3" t="s">
        <v>189</v>
      </c>
      <c r="Z7" s="50"/>
    </row>
    <row r="8" spans="1:26" s="55" customFormat="1" ht="42.75">
      <c r="A8" s="50">
        <v>7</v>
      </c>
      <c r="B8" s="87" t="s">
        <v>105</v>
      </c>
      <c r="C8" s="87">
        <v>8</v>
      </c>
      <c r="D8" s="87">
        <v>100</v>
      </c>
      <c r="E8" s="87">
        <v>20</v>
      </c>
      <c r="F8" s="3" t="s">
        <v>53</v>
      </c>
      <c r="G8" s="50" t="s">
        <v>106</v>
      </c>
      <c r="H8" s="50" t="s">
        <v>107</v>
      </c>
      <c r="I8" s="50">
        <v>0.1</v>
      </c>
      <c r="J8" s="50">
        <v>0.6</v>
      </c>
      <c r="K8" s="73">
        <f>(52.9/3600*E8/C8)*1.13</f>
        <v>4.1511805555555552E-2</v>
      </c>
      <c r="L8" s="73"/>
      <c r="M8" s="73"/>
      <c r="N8" s="54" t="s">
        <v>224</v>
      </c>
      <c r="O8" s="50"/>
      <c r="P8" s="73">
        <v>4.1511805555555552E-2</v>
      </c>
      <c r="Q8" s="6" t="s">
        <v>100</v>
      </c>
      <c r="R8" s="50" t="s">
        <v>108</v>
      </c>
      <c r="S8" s="3">
        <v>1</v>
      </c>
      <c r="T8" s="3">
        <v>1</v>
      </c>
      <c r="U8" s="3" t="s">
        <v>196</v>
      </c>
      <c r="V8" s="40"/>
      <c r="W8" s="40">
        <v>4000</v>
      </c>
      <c r="X8" s="3" t="s">
        <v>189</v>
      </c>
      <c r="Z8" s="50"/>
    </row>
    <row r="9" spans="1:26" s="55" customFormat="1" ht="47.25">
      <c r="A9" s="50">
        <v>8</v>
      </c>
      <c r="B9" s="87" t="s">
        <v>57</v>
      </c>
      <c r="C9" s="87">
        <v>4</v>
      </c>
      <c r="D9" s="87">
        <v>125</v>
      </c>
      <c r="E9" s="87">
        <v>26</v>
      </c>
      <c r="F9" s="3" t="s">
        <v>102</v>
      </c>
      <c r="G9" s="50" t="s">
        <v>109</v>
      </c>
      <c r="H9" s="50" t="s">
        <v>110</v>
      </c>
      <c r="I9" s="50">
        <v>1.01</v>
      </c>
      <c r="J9" s="50">
        <v>2.35</v>
      </c>
      <c r="K9" s="73">
        <f>(57.3/3600*E9/C9)*1.13</f>
        <v>0.11690791666666665</v>
      </c>
      <c r="L9" s="73"/>
      <c r="M9" s="73"/>
      <c r="N9" s="54" t="s">
        <v>224</v>
      </c>
      <c r="O9" s="50"/>
      <c r="P9" s="73">
        <v>0.11690791666666665</v>
      </c>
      <c r="Q9" s="56" t="s">
        <v>97</v>
      </c>
      <c r="R9" s="50" t="s">
        <v>111</v>
      </c>
      <c r="S9" s="3">
        <v>1</v>
      </c>
      <c r="T9" s="3">
        <v>1</v>
      </c>
      <c r="U9" s="3" t="s">
        <v>197</v>
      </c>
      <c r="V9" s="40"/>
      <c r="W9" s="40">
        <v>4000</v>
      </c>
      <c r="X9" s="3" t="s">
        <v>189</v>
      </c>
      <c r="Z9" s="50"/>
    </row>
    <row r="10" spans="1:26" s="55" customFormat="1" ht="31.5">
      <c r="A10" s="50">
        <v>9</v>
      </c>
      <c r="B10" s="87" t="s">
        <v>58</v>
      </c>
      <c r="C10" s="87">
        <v>8</v>
      </c>
      <c r="D10" s="87">
        <v>100</v>
      </c>
      <c r="E10" s="87">
        <v>25</v>
      </c>
      <c r="F10" s="3" t="s">
        <v>95</v>
      </c>
      <c r="G10" s="50" t="s">
        <v>59</v>
      </c>
      <c r="H10" s="50" t="s">
        <v>60</v>
      </c>
      <c r="I10" s="50">
        <v>0.25</v>
      </c>
      <c r="J10" s="50">
        <v>0.2</v>
      </c>
      <c r="K10" s="73">
        <f>(52.9/3600*E10/C10)*1.13</f>
        <v>5.1889756944444435E-2</v>
      </c>
      <c r="L10" s="73"/>
      <c r="M10" s="73"/>
      <c r="N10" s="54" t="s">
        <v>224</v>
      </c>
      <c r="O10" s="50"/>
      <c r="P10" s="73">
        <v>5.1889756944444435E-2</v>
      </c>
      <c r="Q10" s="56" t="s">
        <v>112</v>
      </c>
      <c r="R10" s="50" t="s">
        <v>113</v>
      </c>
      <c r="S10" s="3">
        <v>1</v>
      </c>
      <c r="T10" s="3">
        <v>1</v>
      </c>
      <c r="U10" s="3" t="s">
        <v>198</v>
      </c>
      <c r="V10" s="40"/>
      <c r="W10" s="40">
        <v>4000</v>
      </c>
      <c r="X10" s="3" t="s">
        <v>189</v>
      </c>
      <c r="Z10" s="50"/>
    </row>
    <row r="11" spans="1:26" s="55" customFormat="1" ht="31.5">
      <c r="A11" s="50">
        <v>10</v>
      </c>
      <c r="B11" s="87" t="s">
        <v>114</v>
      </c>
      <c r="C11" s="87">
        <v>8</v>
      </c>
      <c r="D11" s="87">
        <v>150</v>
      </c>
      <c r="E11" s="87">
        <v>30</v>
      </c>
      <c r="F11" s="3" t="s">
        <v>53</v>
      </c>
      <c r="G11" s="50" t="s">
        <v>115</v>
      </c>
      <c r="H11" s="50" t="s">
        <v>62</v>
      </c>
      <c r="I11" s="50">
        <v>1.25</v>
      </c>
      <c r="J11" s="50">
        <v>2.35</v>
      </c>
      <c r="K11" s="73">
        <f>(68.7/3600*E11/C11)*1.13</f>
        <v>8.0865624999999997E-2</v>
      </c>
      <c r="L11" s="73"/>
      <c r="M11" s="73"/>
      <c r="N11" s="54" t="s">
        <v>224</v>
      </c>
      <c r="O11" s="50"/>
      <c r="P11" s="73">
        <v>8.0865624999999997E-2</v>
      </c>
      <c r="Q11" s="56" t="s">
        <v>61</v>
      </c>
      <c r="R11" s="50" t="s">
        <v>116</v>
      </c>
      <c r="S11" s="3">
        <v>1</v>
      </c>
      <c r="T11" s="3">
        <v>1</v>
      </c>
      <c r="U11" s="3" t="s">
        <v>199</v>
      </c>
      <c r="V11" s="40"/>
      <c r="W11" s="40">
        <v>4000</v>
      </c>
      <c r="X11" s="3" t="s">
        <v>189</v>
      </c>
      <c r="Z11" s="50"/>
    </row>
    <row r="12" spans="1:26" s="55" customFormat="1" ht="47.25">
      <c r="A12" s="50">
        <v>11</v>
      </c>
      <c r="B12" s="87" t="s">
        <v>117</v>
      </c>
      <c r="C12" s="87">
        <v>8</v>
      </c>
      <c r="D12" s="87">
        <v>100</v>
      </c>
      <c r="E12" s="87">
        <v>20</v>
      </c>
      <c r="F12" s="3" t="s">
        <v>102</v>
      </c>
      <c r="G12" s="50" t="s">
        <v>118</v>
      </c>
      <c r="H12" s="50" t="s">
        <v>119</v>
      </c>
      <c r="I12" s="50">
        <v>0.5</v>
      </c>
      <c r="J12" s="50">
        <v>0.4</v>
      </c>
      <c r="K12" s="73">
        <f>(52.9/3600*E12/C12)*1.13</f>
        <v>4.1511805555555552E-2</v>
      </c>
      <c r="L12" s="73"/>
      <c r="M12" s="73"/>
      <c r="N12" s="54" t="s">
        <v>224</v>
      </c>
      <c r="O12" s="50"/>
      <c r="P12" s="73">
        <v>4.1511805555555552E-2</v>
      </c>
      <c r="Q12" s="56" t="s">
        <v>97</v>
      </c>
      <c r="R12" s="50" t="s">
        <v>120</v>
      </c>
      <c r="S12" s="40">
        <v>1</v>
      </c>
      <c r="T12" s="40">
        <v>1</v>
      </c>
      <c r="U12" s="3" t="s">
        <v>200</v>
      </c>
      <c r="V12" s="40"/>
      <c r="W12" s="40">
        <v>4000</v>
      </c>
      <c r="X12" s="3" t="s">
        <v>189</v>
      </c>
      <c r="Z12" s="50"/>
    </row>
    <row r="13" spans="1:26" s="55" customFormat="1" ht="31.5">
      <c r="A13" s="50">
        <v>12</v>
      </c>
      <c r="B13" s="87" t="s">
        <v>121</v>
      </c>
      <c r="C13" s="87">
        <v>4</v>
      </c>
      <c r="D13" s="87">
        <v>100</v>
      </c>
      <c r="E13" s="87">
        <v>25</v>
      </c>
      <c r="F13" s="3" t="s">
        <v>95</v>
      </c>
      <c r="G13" s="50" t="s">
        <v>122</v>
      </c>
      <c r="H13" s="50" t="s">
        <v>123</v>
      </c>
      <c r="I13" s="50">
        <v>0.2</v>
      </c>
      <c r="J13" s="50">
        <v>0.5</v>
      </c>
      <c r="K13" s="73">
        <f>(52.9/3600*E13/C13)*1.13</f>
        <v>0.10377951388888887</v>
      </c>
      <c r="L13" s="73"/>
      <c r="M13" s="73"/>
      <c r="N13" s="54" t="s">
        <v>224</v>
      </c>
      <c r="O13" s="50"/>
      <c r="P13" s="73">
        <v>0.10377951388888887</v>
      </c>
      <c r="Q13" s="56" t="s">
        <v>124</v>
      </c>
      <c r="R13" s="50" t="s">
        <v>125</v>
      </c>
      <c r="S13" s="40">
        <v>1</v>
      </c>
      <c r="T13" s="40">
        <v>1</v>
      </c>
      <c r="U13" s="3" t="s">
        <v>201</v>
      </c>
      <c r="V13" s="40"/>
      <c r="W13" s="40">
        <v>4000</v>
      </c>
      <c r="X13" s="3" t="s">
        <v>189</v>
      </c>
      <c r="Z13" s="50"/>
    </row>
    <row r="14" spans="1:26" s="55" customFormat="1" ht="31.5">
      <c r="A14" s="50">
        <v>13</v>
      </c>
      <c r="B14" s="87" t="s">
        <v>126</v>
      </c>
      <c r="C14" s="87">
        <v>4</v>
      </c>
      <c r="D14" s="87">
        <v>100</v>
      </c>
      <c r="E14" s="87">
        <v>25</v>
      </c>
      <c r="F14" s="3" t="s">
        <v>102</v>
      </c>
      <c r="G14" s="50" t="s">
        <v>127</v>
      </c>
      <c r="H14" s="50" t="s">
        <v>128</v>
      </c>
      <c r="I14" s="50">
        <v>0.2</v>
      </c>
      <c r="J14" s="50">
        <v>0.7</v>
      </c>
      <c r="K14" s="73">
        <f>(52.9/3600*E14/C14)*1.13</f>
        <v>0.10377951388888887</v>
      </c>
      <c r="L14" s="73"/>
      <c r="M14" s="73"/>
      <c r="N14" s="54" t="s">
        <v>224</v>
      </c>
      <c r="O14" s="50"/>
      <c r="P14" s="73">
        <v>0.10377951388888887</v>
      </c>
      <c r="Q14" s="56" t="s">
        <v>129</v>
      </c>
      <c r="R14" s="50" t="s">
        <v>130</v>
      </c>
      <c r="S14" s="40">
        <v>1</v>
      </c>
      <c r="T14" s="40">
        <v>1</v>
      </c>
      <c r="U14" s="3" t="s">
        <v>202</v>
      </c>
      <c r="V14" s="40"/>
      <c r="W14" s="40">
        <v>4000</v>
      </c>
      <c r="X14" s="3" t="s">
        <v>189</v>
      </c>
      <c r="Z14" s="50"/>
    </row>
    <row r="15" spans="1:26" s="55" customFormat="1" ht="47.25">
      <c r="A15" s="50">
        <v>14</v>
      </c>
      <c r="B15" s="87" t="s">
        <v>63</v>
      </c>
      <c r="C15" s="87">
        <v>4</v>
      </c>
      <c r="D15" s="87">
        <v>200</v>
      </c>
      <c r="E15" s="87">
        <v>30</v>
      </c>
      <c r="F15" s="3" t="s">
        <v>102</v>
      </c>
      <c r="G15" s="50" t="s">
        <v>131</v>
      </c>
      <c r="H15" s="50" t="s">
        <v>64</v>
      </c>
      <c r="I15" s="50">
        <v>11.65</v>
      </c>
      <c r="J15" s="50">
        <v>3.3</v>
      </c>
      <c r="K15" s="73">
        <f>(73.1/3600*E15/C15)*1.13</f>
        <v>0.17208958333333327</v>
      </c>
      <c r="L15" s="73"/>
      <c r="M15" s="73"/>
      <c r="N15" s="54" t="s">
        <v>224</v>
      </c>
      <c r="O15" s="50"/>
      <c r="P15" s="73">
        <v>0.17208958333333327</v>
      </c>
      <c r="Q15" s="56" t="s">
        <v>97</v>
      </c>
      <c r="R15" s="50" t="s">
        <v>132</v>
      </c>
      <c r="S15" s="40">
        <v>1</v>
      </c>
      <c r="T15" s="40">
        <v>1</v>
      </c>
      <c r="U15" s="6" t="s">
        <v>203</v>
      </c>
      <c r="V15" s="40"/>
      <c r="W15" s="40">
        <v>4000</v>
      </c>
      <c r="X15" s="3" t="s">
        <v>189</v>
      </c>
      <c r="Z15" s="50"/>
    </row>
    <row r="16" spans="1:26" s="55" customFormat="1" ht="31.5">
      <c r="A16" s="50">
        <v>15</v>
      </c>
      <c r="B16" s="87" t="s">
        <v>65</v>
      </c>
      <c r="C16" s="87">
        <v>2</v>
      </c>
      <c r="D16" s="87">
        <v>150</v>
      </c>
      <c r="E16" s="87">
        <v>35</v>
      </c>
      <c r="F16" s="50" t="s">
        <v>133</v>
      </c>
      <c r="G16" s="50" t="s">
        <v>52</v>
      </c>
      <c r="H16" s="50" t="s">
        <v>152</v>
      </c>
      <c r="I16" s="50">
        <v>11.22</v>
      </c>
      <c r="J16" s="50">
        <v>7.9</v>
      </c>
      <c r="K16" s="73">
        <f>(68.7/3600*E16/C16)*1.13</f>
        <v>0.37737291666666667</v>
      </c>
      <c r="L16" s="73"/>
      <c r="M16" s="92"/>
      <c r="N16" s="83" t="s">
        <v>214</v>
      </c>
      <c r="O16" s="83"/>
      <c r="P16" s="83"/>
      <c r="Q16" s="56" t="s">
        <v>134</v>
      </c>
      <c r="R16" s="50" t="s">
        <v>135</v>
      </c>
      <c r="S16" s="40">
        <v>1</v>
      </c>
      <c r="T16" s="40">
        <v>1</v>
      </c>
      <c r="U16" s="6" t="s">
        <v>204</v>
      </c>
      <c r="V16" s="40"/>
      <c r="W16" s="40">
        <v>0</v>
      </c>
      <c r="X16" s="40"/>
      <c r="Z16" s="50"/>
    </row>
    <row r="17" spans="1:26" s="48" customFormat="1" ht="43.5" customHeight="1">
      <c r="A17" s="44">
        <v>16</v>
      </c>
      <c r="B17" s="88">
        <v>2355</v>
      </c>
      <c r="C17" s="89">
        <v>4</v>
      </c>
      <c r="D17" s="89">
        <v>280</v>
      </c>
      <c r="E17" s="89">
        <v>35</v>
      </c>
      <c r="F17" s="44" t="s">
        <v>72</v>
      </c>
      <c r="G17" s="44" t="s">
        <v>70</v>
      </c>
      <c r="H17" s="44" t="s">
        <v>142</v>
      </c>
      <c r="I17" s="45">
        <v>17.3</v>
      </c>
      <c r="J17" s="45">
        <v>5.0999999999999996</v>
      </c>
      <c r="K17" s="73">
        <f>(79.56/3600*E17/C17)*1.13</f>
        <v>0.21851375000000001</v>
      </c>
      <c r="L17" s="73">
        <f>(93.5/3600*E17/C17)*1.13</f>
        <v>0.25680034722222217</v>
      </c>
      <c r="M17" s="92"/>
      <c r="N17" s="83" t="s">
        <v>214</v>
      </c>
      <c r="O17" s="83"/>
      <c r="P17" s="83"/>
      <c r="Q17" s="44" t="s">
        <v>71</v>
      </c>
      <c r="R17" s="44" t="s">
        <v>136</v>
      </c>
      <c r="S17" s="44">
        <v>2</v>
      </c>
      <c r="T17" s="44">
        <v>2</v>
      </c>
      <c r="U17" s="44"/>
      <c r="V17" s="44"/>
      <c r="W17" s="47">
        <v>5000</v>
      </c>
      <c r="X17" s="46"/>
      <c r="Y17" s="95">
        <f>3600/E17*4*22</f>
        <v>9051.4285714285725</v>
      </c>
      <c r="Z17" s="94"/>
    </row>
    <row r="18" spans="1:26" s="63" customFormat="1" ht="28.5">
      <c r="A18" s="34">
        <v>17</v>
      </c>
      <c r="B18" s="90" t="s">
        <v>137</v>
      </c>
      <c r="C18" s="3" t="s">
        <v>138</v>
      </c>
      <c r="D18" s="3">
        <v>180</v>
      </c>
      <c r="E18" s="3">
        <v>33</v>
      </c>
      <c r="F18" s="57" t="s">
        <v>76</v>
      </c>
      <c r="G18" s="58" t="s">
        <v>77</v>
      </c>
      <c r="H18" s="59" t="s">
        <v>151</v>
      </c>
      <c r="I18" s="60">
        <v>14.6</v>
      </c>
      <c r="J18" s="60">
        <v>5.24</v>
      </c>
      <c r="K18" s="73">
        <f>(61.2/3600*E18/4)*1.13</f>
        <v>0.1584825</v>
      </c>
      <c r="L18" s="73">
        <f>(64.8/3600*E18/4)*1.13</f>
        <v>0.16780499999999998</v>
      </c>
      <c r="M18" s="92">
        <f>L18+(5*Z18)</f>
        <v>0.35530499999999998</v>
      </c>
      <c r="N18" s="83" t="s">
        <v>214</v>
      </c>
      <c r="O18" s="83"/>
      <c r="P18" s="83"/>
      <c r="Q18" s="61" t="s">
        <v>139</v>
      </c>
      <c r="R18" s="62" t="s">
        <v>140</v>
      </c>
      <c r="S18" s="43">
        <v>6</v>
      </c>
      <c r="T18" s="43">
        <v>6</v>
      </c>
      <c r="U18" s="62"/>
      <c r="V18" s="62"/>
      <c r="W18" s="62">
        <v>240000</v>
      </c>
      <c r="X18" s="82" t="s">
        <v>205</v>
      </c>
      <c r="Y18" s="93">
        <f>3600/E18*4*22</f>
        <v>9600</v>
      </c>
      <c r="Z18" s="94">
        <f t="shared" ref="Z18:Z19" si="0">360/Y18</f>
        <v>3.7499999999999999E-2</v>
      </c>
    </row>
    <row r="19" spans="1:26" ht="29.25">
      <c r="A19" s="64">
        <v>18</v>
      </c>
      <c r="B19" s="90" t="s">
        <v>81</v>
      </c>
      <c r="C19" s="3" t="s">
        <v>69</v>
      </c>
      <c r="D19" s="3">
        <v>230</v>
      </c>
      <c r="E19" s="3">
        <v>28</v>
      </c>
      <c r="F19" s="57" t="s">
        <v>76</v>
      </c>
      <c r="G19" s="58" t="s">
        <v>79</v>
      </c>
      <c r="H19" s="59" t="s">
        <v>143</v>
      </c>
      <c r="I19" s="60">
        <v>8.3000000000000007</v>
      </c>
      <c r="J19" s="60">
        <v>3.4</v>
      </c>
      <c r="K19" s="73">
        <f>(68.8/3600*E19/4)*1.13</f>
        <v>0.15116888888888888</v>
      </c>
      <c r="L19" s="73">
        <f>(81.2/3600*E19/4)*1.13</f>
        <v>0.17841444444444446</v>
      </c>
      <c r="M19" s="73">
        <f>L19+Z19</f>
        <v>0.21023262626262629</v>
      </c>
      <c r="N19" s="8" t="s">
        <v>214</v>
      </c>
      <c r="O19" s="8"/>
      <c r="P19" s="8"/>
      <c r="Q19" s="65" t="s">
        <v>78</v>
      </c>
      <c r="R19" s="64" t="s">
        <v>80</v>
      </c>
      <c r="S19" s="40">
        <v>2</v>
      </c>
      <c r="T19" s="40">
        <v>2</v>
      </c>
      <c r="U19" s="64"/>
      <c r="V19" s="64"/>
      <c r="W19" s="64">
        <v>1000000</v>
      </c>
      <c r="X19" s="82" t="s">
        <v>206</v>
      </c>
      <c r="Y19" s="93">
        <f>3600/E19*4*22</f>
        <v>11314.285714285716</v>
      </c>
      <c r="Z19" s="94">
        <f t="shared" si="0"/>
        <v>3.1818181818181815E-2</v>
      </c>
    </row>
  </sheetData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2" sqref="M12"/>
    </sheetView>
  </sheetViews>
  <sheetFormatPr defaultRowHeight="14.25"/>
  <sheetData/>
  <phoneticPr fontId="2" type="noConversion"/>
  <pageMargins left="0.7" right="0.7" top="0.75" bottom="0.75" header="0.3" footer="0.3"/>
  <pageSetup paperSize="9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模具请确认供应商</vt:lpstr>
      <vt:lpstr>梅庄回复</vt:lpstr>
      <vt:lpstr>祥舜 回复</vt:lpstr>
      <vt:lpstr>已提供资料待提供供应商</vt:lpstr>
      <vt:lpstr>宝隆回复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2021-04-30T02:53:37Z</dcterms:modified>
</cp:coreProperties>
</file>