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180"/>
  </bookViews>
  <sheets>
    <sheet name="20.12.5 核定价格12.10" sheetId="24" r:id="rId1"/>
    <sheet name="祥舜回复" sheetId="23" r:id="rId2"/>
    <sheet name="鑫厦回复" sheetId="22" r:id="rId3"/>
    <sheet name="梅庄回复 " sheetId="1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24" l="1"/>
  <c r="L12" i="24"/>
  <c r="K12" i="24"/>
  <c r="O12" i="24" s="1"/>
  <c r="J12" i="24"/>
  <c r="N12" i="24" s="1"/>
  <c r="I12" i="24"/>
  <c r="M12" i="24" s="1"/>
  <c r="AF11" i="24"/>
  <c r="N11" i="24"/>
  <c r="M11" i="24"/>
  <c r="K11" i="24"/>
  <c r="J11" i="24"/>
  <c r="I11" i="24"/>
  <c r="AF10" i="24"/>
  <c r="N10" i="24"/>
  <c r="K10" i="24"/>
  <c r="J10" i="24"/>
  <c r="I10" i="24"/>
  <c r="M10" i="24" s="1"/>
  <c r="AF9" i="24"/>
  <c r="N9" i="24"/>
  <c r="M9" i="24"/>
  <c r="K9" i="24"/>
  <c r="J9" i="24"/>
  <c r="I9" i="24"/>
  <c r="AF8" i="24"/>
  <c r="M8" i="24"/>
  <c r="K8" i="24"/>
  <c r="I8" i="24"/>
  <c r="AF7" i="24"/>
  <c r="M7" i="24"/>
  <c r="K7" i="24"/>
  <c r="I7" i="24"/>
  <c r="AF6" i="24"/>
  <c r="M6" i="24"/>
  <c r="K6" i="24"/>
  <c r="I6" i="24"/>
  <c r="AF5" i="24"/>
  <c r="M5" i="24"/>
  <c r="K5" i="24"/>
  <c r="I5" i="24"/>
  <c r="AF4" i="24"/>
  <c r="L4" i="24" s="1"/>
  <c r="O4" i="24" s="1"/>
  <c r="K4" i="24"/>
  <c r="I4" i="24"/>
  <c r="AF3" i="24"/>
  <c r="L3" i="24"/>
  <c r="O3" i="24" s="1"/>
  <c r="K3" i="24"/>
  <c r="I3" i="24"/>
  <c r="AF2" i="24"/>
  <c r="L2" i="24" s="1"/>
  <c r="O2" i="24" s="1"/>
  <c r="K2" i="24"/>
  <c r="I2" i="24"/>
  <c r="M2" i="24" l="1"/>
  <c r="M4" i="24"/>
  <c r="M3" i="24"/>
</calcChain>
</file>

<file path=xl/comments1.xml><?xml version="1.0" encoding="utf-8"?>
<comments xmlns="http://schemas.openxmlformats.org/spreadsheetml/2006/main">
  <authors>
    <author>作者</author>
  </authors>
  <commentList>
    <comment ref="R6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原</t>
        </r>
        <r>
          <rPr>
            <sz val="9"/>
            <color indexed="81"/>
            <rFont val="Tahoma"/>
            <family val="2"/>
          </rPr>
          <t>PC/SABIC/141R-111/TANSPARENT_BLACK</t>
        </r>
        <r>
          <rPr>
            <sz val="9"/>
            <color indexed="81"/>
            <rFont val="宋体"/>
            <family val="3"/>
            <charset val="134"/>
          </rPr>
          <t xml:space="preserve">錯誤
</t>
        </r>
      </text>
    </comment>
  </commentList>
</comments>
</file>

<file path=xl/sharedStrings.xml><?xml version="1.0" encoding="utf-8"?>
<sst xmlns="http://schemas.openxmlformats.org/spreadsheetml/2006/main" count="140" uniqueCount="113">
  <si>
    <t>穴數</t>
    <phoneticPr fontId="3" type="noConversion"/>
  </si>
  <si>
    <t>品名</t>
  </si>
  <si>
    <t>品號</t>
  </si>
  <si>
    <t>委外廠商</t>
  </si>
  <si>
    <t>无</t>
  </si>
  <si>
    <t>生产需用专用治具及设备</t>
    <phoneticPr fontId="1" type="noConversion"/>
  </si>
  <si>
    <t>350*550*386</t>
  </si>
  <si>
    <t>400*550*546</t>
  </si>
  <si>
    <t>400*550*545</t>
  </si>
  <si>
    <t>1+1</t>
    <phoneticPr fontId="1" type="noConversion"/>
  </si>
  <si>
    <t>MAIN CUP L &amp; R</t>
    <phoneticPr fontId="1" type="noConversion"/>
  </si>
  <si>
    <t>403.4*351.21*504.19</t>
  </si>
  <si>
    <t>350*450*396</t>
  </si>
  <si>
    <t xml:space="preserve">机械手专用治具
</t>
    <phoneticPr fontId="6" type="noConversion"/>
  </si>
  <si>
    <t>FX-333-017</t>
    <phoneticPr fontId="6" type="noConversion"/>
  </si>
  <si>
    <t>HANGER L/HANGER R</t>
    <phoneticPr fontId="1" type="noConversion"/>
  </si>
  <si>
    <t>PA6+30%GF/LG/GP2300A(W)/BLACK</t>
    <phoneticPr fontId="1" type="noConversion"/>
  </si>
  <si>
    <t>ROTATION BASE L/ROTATION BASE R</t>
    <phoneticPr fontId="1" type="noConversion"/>
  </si>
  <si>
    <t>加纤料，合金螺杆</t>
    <phoneticPr fontId="1" type="noConversion"/>
  </si>
  <si>
    <t>修模中</t>
    <phoneticPr fontId="1" type="noConversion"/>
  </si>
  <si>
    <t>1*2</t>
    <phoneticPr fontId="1" type="noConversion"/>
  </si>
  <si>
    <t>1*4</t>
    <phoneticPr fontId="1" type="noConversion"/>
  </si>
  <si>
    <t>ABS/TAIRILAC/AG15A1/#NJ</t>
    <phoneticPr fontId="1" type="noConversion"/>
  </si>
  <si>
    <t xml:space="preserve">245320010701A/245320010801A
 </t>
    <phoneticPr fontId="1" type="noConversion"/>
  </si>
  <si>
    <t>祥舜</t>
    <phoneticPr fontId="1" type="noConversion"/>
  </si>
  <si>
    <t>按照原价</t>
  </si>
  <si>
    <t>不外發</t>
    <phoneticPr fontId="1" type="noConversion"/>
  </si>
  <si>
    <t>序号</t>
    <phoneticPr fontId="3" type="noConversion"/>
  </si>
  <si>
    <t>模號</t>
    <phoneticPr fontId="3" type="noConversion"/>
  </si>
  <si>
    <t>噸位</t>
    <phoneticPr fontId="3" type="noConversion"/>
  </si>
  <si>
    <t>週期</t>
    <phoneticPr fontId="3" type="noConversion"/>
  </si>
  <si>
    <t>機種</t>
    <phoneticPr fontId="3" type="noConversion"/>
  </si>
  <si>
    <t>7折顶钧含税价13%</t>
    <phoneticPr fontId="1" type="noConversion"/>
  </si>
  <si>
    <t>舊機種7折更新含税价</t>
    <phoneticPr fontId="1" type="noConversion"/>
  </si>
  <si>
    <t>8折顶钧含税价14%</t>
    <phoneticPr fontId="1" type="noConversion"/>
  </si>
  <si>
    <t>1人費用</t>
    <phoneticPr fontId="1" type="noConversion"/>
  </si>
  <si>
    <t>7折含1人費用</t>
    <phoneticPr fontId="1" type="noConversion"/>
  </si>
  <si>
    <t>8折含人費用</t>
  </si>
  <si>
    <t>產品單重(G)</t>
    <phoneticPr fontId="3" type="noConversion"/>
  </si>
  <si>
    <t>水口單重(G)</t>
    <phoneticPr fontId="3" type="noConversion"/>
  </si>
  <si>
    <t>材料</t>
    <phoneticPr fontId="3" type="noConversion"/>
  </si>
  <si>
    <t>鑫廈</t>
    <phoneticPr fontId="1" type="noConversion"/>
  </si>
  <si>
    <t>鑫厦报价更新</t>
    <phoneticPr fontId="1" type="noConversion"/>
  </si>
  <si>
    <t>梅莊</t>
    <phoneticPr fontId="1" type="noConversion"/>
  </si>
  <si>
    <t>模具尺寸</t>
    <phoneticPr fontId="3" type="noConversion"/>
  </si>
  <si>
    <t>标准用人</t>
    <phoneticPr fontId="1" type="noConversion"/>
  </si>
  <si>
    <t>实际用人</t>
    <phoneticPr fontId="1" type="noConversion"/>
  </si>
  <si>
    <t>测量专用治具</t>
    <phoneticPr fontId="1" type="noConversion"/>
  </si>
  <si>
    <t>模具可外发时间</t>
    <phoneticPr fontId="1" type="noConversion"/>
  </si>
  <si>
    <t>Forecast /月</t>
    <phoneticPr fontId="1" type="noConversion"/>
  </si>
  <si>
    <t>备注</t>
    <phoneticPr fontId="3" type="noConversion"/>
  </si>
  <si>
    <t>產能</t>
    <phoneticPr fontId="3" type="noConversion"/>
  </si>
  <si>
    <t>200T</t>
    <phoneticPr fontId="1" type="noConversion"/>
  </si>
  <si>
    <t>AMIGA</t>
    <phoneticPr fontId="1" type="noConversion"/>
  </si>
  <si>
    <t>HANGER L</t>
    <phoneticPr fontId="1" type="noConversion"/>
  </si>
  <si>
    <t>145333003006A</t>
    <phoneticPr fontId="1" type="noConversion"/>
  </si>
  <si>
    <t>PA6+30%GF/LG/GP2300A(W)/BLACK</t>
    <phoneticPr fontId="1" type="noConversion"/>
  </si>
  <si>
    <t>梅莊</t>
  </si>
  <si>
    <t>加纤料，合金螺杆</t>
    <phoneticPr fontId="1" type="noConversion"/>
  </si>
  <si>
    <t>AMIGA</t>
    <phoneticPr fontId="1" type="noConversion"/>
  </si>
  <si>
    <t>HANGER R</t>
    <phoneticPr fontId="1" type="noConversion"/>
  </si>
  <si>
    <t>145333003007A</t>
    <phoneticPr fontId="1" type="noConversion"/>
  </si>
  <si>
    <t>FX-333-016</t>
    <phoneticPr fontId="6" type="noConversion"/>
  </si>
  <si>
    <t>145333003006A/145333003007A</t>
    <phoneticPr fontId="1" type="noConversion"/>
  </si>
  <si>
    <t>FX-333-014/015</t>
    <phoneticPr fontId="6" type="noConversion"/>
  </si>
  <si>
    <t>生产中</t>
    <phoneticPr fontId="1" type="noConversion"/>
  </si>
  <si>
    <t>CO</t>
    <phoneticPr fontId="1" type="noConversion"/>
  </si>
  <si>
    <t>22.7/22.4</t>
    <phoneticPr fontId="1" type="noConversion"/>
  </si>
  <si>
    <t>ABS/BASF/GP22/BLACK</t>
    <phoneticPr fontId="1" type="noConversion"/>
  </si>
  <si>
    <t>FX-320-009/011/021</t>
    <phoneticPr fontId="6" type="noConversion"/>
  </si>
  <si>
    <t>1+1</t>
    <phoneticPr fontId="1" type="noConversion"/>
  </si>
  <si>
    <t>150T</t>
    <phoneticPr fontId="1" type="noConversion"/>
  </si>
  <si>
    <t xml:space="preserve">245333010501B/245333010601B
 </t>
    <phoneticPr fontId="1" type="noConversion"/>
  </si>
  <si>
    <t>PA6+30%GF/LG/GP2300A(W)/BLACK</t>
    <phoneticPr fontId="21" type="noConversion"/>
  </si>
  <si>
    <t>FX-333-005/007</t>
    <phoneticPr fontId="6" type="noConversion"/>
  </si>
  <si>
    <t>修模中</t>
    <phoneticPr fontId="1" type="noConversion"/>
  </si>
  <si>
    <t>加纤料，合金螺杆</t>
    <phoneticPr fontId="1" type="noConversion"/>
  </si>
  <si>
    <t>3304</t>
    <phoneticPr fontId="1" type="noConversion"/>
  </si>
  <si>
    <t>1*2</t>
    <phoneticPr fontId="1" type="noConversion"/>
  </si>
  <si>
    <t>200T</t>
    <phoneticPr fontId="1" type="noConversion"/>
  </si>
  <si>
    <t>AMIGA</t>
    <phoneticPr fontId="1" type="noConversion"/>
  </si>
  <si>
    <t>MAIN CUP L</t>
    <phoneticPr fontId="1" type="noConversion"/>
  </si>
  <si>
    <t>245333010701A</t>
    <phoneticPr fontId="1" type="noConversion"/>
  </si>
  <si>
    <t>22.7/22.4</t>
    <phoneticPr fontId="1" type="noConversion"/>
  </si>
  <si>
    <t>ABS/BASF/GP22/BLACK</t>
    <phoneticPr fontId="1" type="noConversion"/>
  </si>
  <si>
    <t>FX-320-009/011/021</t>
    <phoneticPr fontId="6" type="noConversion"/>
  </si>
  <si>
    <t>MAIN CUP R</t>
    <phoneticPr fontId="1" type="noConversion"/>
  </si>
  <si>
    <t>245333010801A</t>
    <phoneticPr fontId="1" type="noConversion"/>
  </si>
  <si>
    <t>1*4</t>
    <phoneticPr fontId="1" type="noConversion"/>
  </si>
  <si>
    <t>250T</t>
    <phoneticPr fontId="1" type="noConversion"/>
  </si>
  <si>
    <t>SM8123</t>
    <phoneticPr fontId="1" type="noConversion"/>
  </si>
  <si>
    <t>KEY PLATE</t>
    <phoneticPr fontId="1" type="noConversion"/>
  </si>
  <si>
    <t>201218010303A</t>
    <phoneticPr fontId="1" type="noConversion"/>
  </si>
  <si>
    <t>氮气接不了已经满载</t>
    <phoneticPr fontId="1" type="noConversion"/>
  </si>
  <si>
    <t>無氮气</t>
    <phoneticPr fontId="1" type="noConversion"/>
  </si>
  <si>
    <t>200T</t>
    <phoneticPr fontId="1" type="noConversion"/>
  </si>
  <si>
    <t>SM8123</t>
    <phoneticPr fontId="1" type="noConversion"/>
  </si>
  <si>
    <t>TOP CASE</t>
    <phoneticPr fontId="1" type="noConversion"/>
  </si>
  <si>
    <t>201218010103A</t>
    <phoneticPr fontId="1" type="noConversion"/>
  </si>
  <si>
    <t>ABS/TAIRILAC/AG15A1/#NJ</t>
    <phoneticPr fontId="1" type="noConversion"/>
  </si>
  <si>
    <t>200T</t>
    <phoneticPr fontId="1" type="noConversion"/>
  </si>
  <si>
    <t xml:space="preserve">SM2064 </t>
    <phoneticPr fontId="1" type="noConversion"/>
  </si>
  <si>
    <t>TOP CASE</t>
    <phoneticPr fontId="1" type="noConversion"/>
  </si>
  <si>
    <t>201228010101A</t>
    <phoneticPr fontId="1" type="noConversion"/>
  </si>
  <si>
    <t>ABS/TAIRILAC/AG15A1/COAL_BLACK</t>
    <phoneticPr fontId="1" type="noConversion"/>
  </si>
  <si>
    <t>祥舜</t>
    <phoneticPr fontId="1" type="noConversion"/>
  </si>
  <si>
    <t>180T</t>
    <phoneticPr fontId="1" type="noConversion"/>
  </si>
  <si>
    <t xml:space="preserve">SAPELLO KB </t>
    <phoneticPr fontId="1" type="noConversion"/>
  </si>
  <si>
    <t>BATTERY DOOR</t>
    <phoneticPr fontId="1" type="noConversion"/>
  </si>
  <si>
    <t xml:space="preserve">202239010302G/202239010302H
 </t>
    <phoneticPr fontId="1" type="noConversion"/>
  </si>
  <si>
    <t>PC+20%GF/SABIC/D251-7M5D034/GRAY</t>
    <phoneticPr fontId="1" type="noConversion"/>
  </si>
  <si>
    <t>祥舜</t>
    <phoneticPr fontId="1" type="noConversion"/>
  </si>
  <si>
    <t>无治具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</si>
</sst>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￥-804]#,##0.0"/>
    <numFmt numFmtId="178" formatCode="0.000_);[Red]\(0.000\)"/>
    <numFmt numFmtId="179" formatCode="0.00_);[Red]\(0.00\)"/>
  </numFmts>
  <fonts count="2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6"/>
    </font>
    <font>
      <sz val="9"/>
      <name val="等线"/>
      <family val="2"/>
      <charset val="136"/>
      <scheme val="minor"/>
    </font>
    <font>
      <sz val="12"/>
      <color indexed="8"/>
      <name val="宋体"/>
      <family val="3"/>
      <charset val="136"/>
    </font>
    <font>
      <sz val="9"/>
      <color rgb="FFFF0000"/>
      <name val="楷体"/>
      <family val="3"/>
      <charset val="134"/>
    </font>
    <font>
      <sz val="9"/>
      <name val="宋体"/>
      <family val="3"/>
      <charset val="134"/>
    </font>
    <font>
      <sz val="12"/>
      <color theme="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2"/>
      <charset val="134"/>
    </font>
    <font>
      <sz val="12"/>
      <color rgb="FF000000"/>
      <name val="楷体"/>
      <family val="3"/>
      <charset val="134"/>
    </font>
    <font>
      <sz val="12"/>
      <name val="宋体"/>
      <family val="3"/>
      <charset val="134"/>
    </font>
    <font>
      <sz val="12"/>
      <color indexed="8"/>
      <name val="Verdana"/>
      <family val="2"/>
      <charset val="134"/>
    </font>
    <font>
      <sz val="12"/>
      <color theme="1"/>
      <name val="等线"/>
      <family val="2"/>
      <charset val="136"/>
      <scheme val="minor"/>
    </font>
    <font>
      <sz val="12"/>
      <color theme="1"/>
      <name val="等线"/>
      <family val="2"/>
      <scheme val="minor"/>
    </font>
    <font>
      <sz val="12"/>
      <name val="楷体"/>
      <family val="3"/>
      <charset val="134"/>
    </font>
    <font>
      <sz val="12"/>
      <name val="新細明體"/>
      <family val="22"/>
      <charset val="134"/>
    </font>
    <font>
      <sz val="14"/>
      <color indexed="8"/>
      <name val="楷体"/>
      <family val="3"/>
      <charset val="134"/>
    </font>
    <font>
      <sz val="14"/>
      <color theme="1"/>
      <name val="楷体"/>
      <family val="3"/>
      <charset val="134"/>
    </font>
    <font>
      <sz val="14"/>
      <color theme="1"/>
      <name val="等线"/>
      <family val="2"/>
      <scheme val="minor"/>
    </font>
    <font>
      <sz val="12"/>
      <color rgb="FFFF0000"/>
      <name val="楷体"/>
      <family val="3"/>
      <charset val="134"/>
    </font>
    <font>
      <sz val="9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177" fontId="0" fillId="0" borderId="0"/>
    <xf numFmtId="177" fontId="4" fillId="0" borderId="0">
      <alignment vertical="center"/>
    </xf>
    <xf numFmtId="177" fontId="2" fillId="0" borderId="0">
      <alignment vertical="center"/>
    </xf>
    <xf numFmtId="177" fontId="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2" fillId="0" borderId="0" applyNumberFormat="0" applyFill="0" applyBorder="0" applyProtection="0">
      <alignment vertical="top" wrapText="1"/>
    </xf>
    <xf numFmtId="177" fontId="13" fillId="0" borderId="0">
      <alignment vertical="center"/>
    </xf>
    <xf numFmtId="177" fontId="11" fillId="0" borderId="0">
      <alignment vertical="center"/>
    </xf>
  </cellStyleXfs>
  <cellXfs count="58">
    <xf numFmtId="177" fontId="0" fillId="0" borderId="0" xfId="0"/>
    <xf numFmtId="58" fontId="5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/>
    </xf>
    <xf numFmtId="176" fontId="7" fillId="2" borderId="2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/>
    </xf>
    <xf numFmtId="176" fontId="7" fillId="2" borderId="1" xfId="8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58" fontId="0" fillId="2" borderId="1" xfId="0" applyNumberFormat="1" applyFill="1" applyBorder="1" applyAlignment="1">
      <alignment horizontal="center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2" xfId="8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 wrapText="1"/>
    </xf>
    <xf numFmtId="176" fontId="0" fillId="2" borderId="0" xfId="0" applyNumberFormat="1" applyFill="1" applyAlignment="1"/>
    <xf numFmtId="176" fontId="0" fillId="2" borderId="1" xfId="0" applyNumberForma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/>
    </xf>
    <xf numFmtId="176" fontId="17" fillId="2" borderId="1" xfId="1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Alignment="1"/>
    <xf numFmtId="176" fontId="17" fillId="3" borderId="1" xfId="1" applyNumberFormat="1" applyFont="1" applyFill="1" applyBorder="1" applyAlignment="1">
      <alignment horizontal="center" vertical="center" wrapText="1"/>
    </xf>
    <xf numFmtId="178" fontId="17" fillId="2" borderId="1" xfId="1" applyNumberFormat="1" applyFont="1" applyFill="1" applyBorder="1" applyAlignment="1">
      <alignment horizontal="center" vertical="center" wrapText="1"/>
    </xf>
    <xf numFmtId="178" fontId="20" fillId="2" borderId="1" xfId="0" applyNumberFormat="1" applyFont="1" applyFill="1" applyBorder="1" applyAlignment="1">
      <alignment horizontal="center" vertical="center"/>
    </xf>
    <xf numFmtId="179" fontId="20" fillId="2" borderId="2" xfId="0" applyNumberFormat="1" applyFont="1" applyFill="1" applyBorder="1" applyAlignment="1">
      <alignment horizontal="center" vertical="center"/>
    </xf>
    <xf numFmtId="179" fontId="20" fillId="2" borderId="1" xfId="0" applyNumberFormat="1" applyFont="1" applyFill="1" applyBorder="1" applyAlignment="1">
      <alignment horizontal="center" vertical="center"/>
    </xf>
    <xf numFmtId="178" fontId="16" fillId="0" borderId="2" xfId="4" applyNumberFormat="1" applyFont="1" applyFill="1" applyBorder="1" applyAlignment="1">
      <alignment horizontal="center" vertical="center"/>
    </xf>
    <xf numFmtId="178" fontId="7" fillId="2" borderId="2" xfId="8" applyNumberFormat="1" applyFont="1" applyFill="1" applyBorder="1" applyAlignment="1">
      <alignment horizontal="center" vertical="center"/>
    </xf>
    <xf numFmtId="178" fontId="7" fillId="2" borderId="1" xfId="8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178" fontId="7" fillId="4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/>
    <xf numFmtId="178" fontId="20" fillId="4" borderId="1" xfId="0" applyNumberFormat="1" applyFont="1" applyFill="1" applyBorder="1" applyAlignment="1">
      <alignment horizontal="center" vertical="center"/>
    </xf>
    <xf numFmtId="178" fontId="16" fillId="2" borderId="2" xfId="4" applyNumberFormat="1" applyFont="1" applyFill="1" applyBorder="1" applyAlignment="1">
      <alignment horizontal="center" vertical="center"/>
    </xf>
    <xf numFmtId="179" fontId="20" fillId="4" borderId="2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179" fontId="20" fillId="4" borderId="1" xfId="0" applyNumberFormat="1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/>
    </xf>
    <xf numFmtId="178" fontId="20" fillId="2" borderId="2" xfId="8" applyNumberFormat="1" applyFont="1" applyFill="1" applyBorder="1" applyAlignment="1">
      <alignment horizontal="center" vertical="center"/>
    </xf>
    <xf numFmtId="179" fontId="22" fillId="2" borderId="1" xfId="0" applyNumberFormat="1" applyFont="1" applyFill="1" applyBorder="1" applyAlignment="1">
      <alignment horizontal="center"/>
    </xf>
    <xf numFmtId="178" fontId="0" fillId="4" borderId="1" xfId="0" applyNumberFormat="1" applyFill="1" applyBorder="1" applyAlignment="1">
      <alignment horizontal="center"/>
    </xf>
    <xf numFmtId="178" fontId="0" fillId="2" borderId="1" xfId="0" applyNumberFormat="1" applyFill="1" applyBorder="1" applyAlignment="1">
      <alignment horizontal="center"/>
    </xf>
    <xf numFmtId="178" fontId="16" fillId="2" borderId="1" xfId="4" applyNumberFormat="1" applyFont="1" applyFill="1" applyBorder="1" applyAlignment="1">
      <alignment horizontal="center" vertical="center"/>
    </xf>
    <xf numFmtId="178" fontId="16" fillId="0" borderId="1" xfId="4" applyNumberFormat="1" applyFont="1" applyFill="1" applyBorder="1" applyAlignment="1">
      <alignment horizontal="center" vertical="center"/>
    </xf>
    <xf numFmtId="178" fontId="20" fillId="2" borderId="1" xfId="8" applyNumberFormat="1" applyFont="1" applyFill="1" applyBorder="1" applyAlignment="1">
      <alignment horizontal="center" vertical="center"/>
    </xf>
    <xf numFmtId="178" fontId="0" fillId="2" borderId="0" xfId="0" applyNumberFormat="1" applyFill="1" applyAlignment="1">
      <alignment horizontal="center"/>
    </xf>
    <xf numFmtId="178" fontId="22" fillId="2" borderId="2" xfId="0" applyNumberFormat="1" applyFont="1" applyFill="1" applyBorder="1" applyAlignment="1">
      <alignment horizontal="center" vertical="center"/>
    </xf>
    <xf numFmtId="178" fontId="22" fillId="2" borderId="3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</cellXfs>
  <cellStyles count="9">
    <cellStyle name="常规" xfId="0" builtinId="0"/>
    <cellStyle name="常规 3" xfId="8"/>
    <cellStyle name="一般 2" xfId="3"/>
    <cellStyle name="一般 2 5" xfId="6"/>
    <cellStyle name="一般 3" xfId="1"/>
    <cellStyle name="一般 4" xfId="5"/>
    <cellStyle name="一般 5" xfId="4"/>
    <cellStyle name="一般 9" xfId="7"/>
    <cellStyle name="一般_Mibtech Tooling List_08062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133349</xdr:rowOff>
    </xdr:from>
    <xdr:to>
      <xdr:col>22</xdr:col>
      <xdr:colOff>426911</xdr:colOff>
      <xdr:row>54</xdr:row>
      <xdr:rowOff>170377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224"/>
        <a:stretch/>
      </xdr:blipFill>
      <xdr:spPr>
        <a:xfrm>
          <a:off x="0" y="5381624"/>
          <a:ext cx="13714286" cy="7095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123824</xdr:rowOff>
    </xdr:from>
    <xdr:to>
      <xdr:col>19</xdr:col>
      <xdr:colOff>684086</xdr:colOff>
      <xdr:row>39</xdr:row>
      <xdr:rowOff>95250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447" b="4766"/>
        <a:stretch/>
      </xdr:blipFill>
      <xdr:spPr>
        <a:xfrm>
          <a:off x="0" y="485774"/>
          <a:ext cx="13714286" cy="6667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36</xdr:row>
      <xdr:rowOff>85725</xdr:rowOff>
    </xdr:from>
    <xdr:to>
      <xdr:col>20</xdr:col>
      <xdr:colOff>64961</xdr:colOff>
      <xdr:row>58</xdr:row>
      <xdr:rowOff>95250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6448" b="26991"/>
        <a:stretch/>
      </xdr:blipFill>
      <xdr:spPr>
        <a:xfrm>
          <a:off x="66675" y="6600825"/>
          <a:ext cx="13714286" cy="3990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123825</xdr:rowOff>
    </xdr:from>
    <xdr:to>
      <xdr:col>19</xdr:col>
      <xdr:colOff>684086</xdr:colOff>
      <xdr:row>50</xdr:row>
      <xdr:rowOff>8453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5775"/>
          <a:ext cx="13714286" cy="85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76200</xdr:rowOff>
    </xdr:from>
    <xdr:to>
      <xdr:col>20</xdr:col>
      <xdr:colOff>7811</xdr:colOff>
      <xdr:row>49</xdr:row>
      <xdr:rowOff>141803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3815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G15" sqref="G15"/>
    </sheetView>
  </sheetViews>
  <sheetFormatPr defaultColWidth="9" defaultRowHeight="14.25"/>
  <cols>
    <col min="1" max="1" width="5.25" style="21" customWidth="1"/>
    <col min="2" max="2" width="6.625" style="21" customWidth="1"/>
    <col min="3" max="4" width="7.25" style="21" customWidth="1"/>
    <col min="5" max="5" width="5.75" style="21" customWidth="1"/>
    <col min="6" max="6" width="8.875" style="21" customWidth="1"/>
    <col min="7" max="7" width="10" style="21" customWidth="1"/>
    <col min="8" max="8" width="18.25" style="21" customWidth="1"/>
    <col min="9" max="9" width="10.625" style="21" customWidth="1"/>
    <col min="10" max="10" width="9.75" style="21" customWidth="1"/>
    <col min="11" max="11" width="10.75" style="21" customWidth="1"/>
    <col min="12" max="12" width="7.25" style="21" customWidth="1"/>
    <col min="13" max="13" width="8.625" style="21" customWidth="1"/>
    <col min="14" max="14" width="9.375" style="21" customWidth="1"/>
    <col min="15" max="15" width="8.25" style="21" customWidth="1"/>
    <col min="16" max="17" width="9.25" style="21" hidden="1" customWidth="1"/>
    <col min="18" max="18" width="24.875" style="21" hidden="1" customWidth="1"/>
    <col min="19" max="20" width="10.125" style="21" customWidth="1"/>
    <col min="21" max="21" width="10.125" style="49" customWidth="1"/>
    <col min="22" max="22" width="10.125" style="21" customWidth="1"/>
    <col min="23" max="23" width="19.875" style="21" customWidth="1"/>
    <col min="24" max="26" width="7" style="21" customWidth="1"/>
    <col min="27" max="27" width="21.25" style="21" customWidth="1"/>
    <col min="28" max="28" width="19.625" style="21" customWidth="1"/>
    <col min="29" max="30" width="9" style="21"/>
    <col min="31" max="31" width="18.75" style="21" customWidth="1"/>
    <col min="32" max="32" width="9" style="18" customWidth="1"/>
    <col min="33" max="16384" width="9" style="18"/>
  </cols>
  <sheetData>
    <row r="1" spans="1:32" s="24" customFormat="1" ht="56.25">
      <c r="A1" s="22" t="s">
        <v>27</v>
      </c>
      <c r="B1" s="22" t="s">
        <v>28</v>
      </c>
      <c r="C1" s="22" t="s">
        <v>0</v>
      </c>
      <c r="D1" s="22" t="s">
        <v>29</v>
      </c>
      <c r="E1" s="22" t="s">
        <v>30</v>
      </c>
      <c r="F1" s="22" t="s">
        <v>31</v>
      </c>
      <c r="G1" s="22" t="s">
        <v>1</v>
      </c>
      <c r="H1" s="22" t="s">
        <v>2</v>
      </c>
      <c r="I1" s="25" t="s">
        <v>32</v>
      </c>
      <c r="J1" s="25" t="s">
        <v>33</v>
      </c>
      <c r="K1" s="25" t="s">
        <v>34</v>
      </c>
      <c r="L1" s="25" t="s">
        <v>35</v>
      </c>
      <c r="M1" s="22" t="s">
        <v>36</v>
      </c>
      <c r="N1" s="22" t="s">
        <v>33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6" t="s">
        <v>24</v>
      </c>
      <c r="V1" s="22" t="s">
        <v>43</v>
      </c>
      <c r="W1" s="22" t="s">
        <v>44</v>
      </c>
      <c r="X1" s="22" t="s">
        <v>45</v>
      </c>
      <c r="Y1" s="22" t="s">
        <v>46</v>
      </c>
      <c r="Z1" s="22" t="s">
        <v>3</v>
      </c>
      <c r="AA1" s="22" t="s">
        <v>5</v>
      </c>
      <c r="AB1" s="22" t="s">
        <v>47</v>
      </c>
      <c r="AC1" s="22" t="s">
        <v>48</v>
      </c>
      <c r="AD1" s="22" t="s">
        <v>49</v>
      </c>
      <c r="AE1" s="23" t="s">
        <v>50</v>
      </c>
      <c r="AF1" s="23" t="s">
        <v>51</v>
      </c>
    </row>
    <row r="2" spans="1:32" ht="28.5">
      <c r="A2" s="19">
        <v>1</v>
      </c>
      <c r="B2" s="2">
        <v>3300</v>
      </c>
      <c r="C2" s="2">
        <v>2</v>
      </c>
      <c r="D2" s="6" t="s">
        <v>52</v>
      </c>
      <c r="E2" s="2">
        <v>28</v>
      </c>
      <c r="F2" s="2" t="s">
        <v>53</v>
      </c>
      <c r="G2" s="3" t="s">
        <v>54</v>
      </c>
      <c r="H2" s="7" t="s">
        <v>55</v>
      </c>
      <c r="I2" s="30">
        <f>(72.8/3600*E2/C2)*1.13</f>
        <v>0.31991555555555551</v>
      </c>
      <c r="J2" s="30"/>
      <c r="K2" s="30">
        <f>(83.2/3600*E2/C2 )*1.13</f>
        <v>0.36561777777777776</v>
      </c>
      <c r="L2" s="30">
        <f>360/AF2</f>
        <v>6.363636363636363E-2</v>
      </c>
      <c r="M2" s="31">
        <f t="shared" ref="M2:M12" si="0">I2+L2</f>
        <v>0.38355191919191911</v>
      </c>
      <c r="N2" s="31"/>
      <c r="O2" s="32">
        <f>K2+L2</f>
        <v>0.42925414141414142</v>
      </c>
      <c r="P2" s="8">
        <v>10.68</v>
      </c>
      <c r="Q2" s="2">
        <v>10.3</v>
      </c>
      <c r="R2" s="3" t="s">
        <v>56</v>
      </c>
      <c r="S2" s="27">
        <v>0.55000000000000004</v>
      </c>
      <c r="T2" s="27">
        <v>0.53</v>
      </c>
      <c r="U2" s="33">
        <v>0.45</v>
      </c>
      <c r="V2" s="34">
        <v>0.46355191919191913</v>
      </c>
      <c r="W2" s="9" t="s">
        <v>7</v>
      </c>
      <c r="X2" s="5">
        <v>2</v>
      </c>
      <c r="Y2" s="9">
        <v>3</v>
      </c>
      <c r="Z2" s="2" t="s">
        <v>57</v>
      </c>
      <c r="AA2" s="2" t="s">
        <v>4</v>
      </c>
      <c r="AB2" s="2" t="s">
        <v>14</v>
      </c>
      <c r="AC2" s="2"/>
      <c r="AD2" s="2">
        <v>20000</v>
      </c>
      <c r="AE2" s="10" t="s">
        <v>58</v>
      </c>
      <c r="AF2" s="35">
        <f>3600/E2*C2*22</f>
        <v>5657.1428571428578</v>
      </c>
    </row>
    <row r="3" spans="1:32" ht="28.5">
      <c r="A3" s="19">
        <v>2</v>
      </c>
      <c r="B3" s="2">
        <v>3306</v>
      </c>
      <c r="C3" s="2">
        <v>2</v>
      </c>
      <c r="D3" s="6" t="s">
        <v>52</v>
      </c>
      <c r="E3" s="2">
        <v>28</v>
      </c>
      <c r="F3" s="2" t="s">
        <v>59</v>
      </c>
      <c r="G3" s="3" t="s">
        <v>60</v>
      </c>
      <c r="H3" s="7" t="s">
        <v>61</v>
      </c>
      <c r="I3" s="30">
        <f>(72.8/3600*E3/C3)*1.13</f>
        <v>0.31991555555555551</v>
      </c>
      <c r="J3" s="30"/>
      <c r="K3" s="30">
        <f>(83.2/3600*E3/C3 )*1.13</f>
        <v>0.36561777777777776</v>
      </c>
      <c r="L3" s="30">
        <f>360/AF3</f>
        <v>6.363636363636363E-2</v>
      </c>
      <c r="M3" s="31">
        <f t="shared" si="0"/>
        <v>0.38355191919191911</v>
      </c>
      <c r="N3" s="31"/>
      <c r="O3" s="32">
        <f t="shared" ref="O3:O12" si="1">K3+L3</f>
        <v>0.42925414141414142</v>
      </c>
      <c r="P3" s="8">
        <v>11.01</v>
      </c>
      <c r="Q3" s="2">
        <v>10.4</v>
      </c>
      <c r="R3" s="3" t="s">
        <v>16</v>
      </c>
      <c r="S3" s="27">
        <v>0.55000000000000004</v>
      </c>
      <c r="T3" s="27">
        <v>0.53</v>
      </c>
      <c r="U3" s="33">
        <v>0.45</v>
      </c>
      <c r="V3" s="34">
        <v>0.46355191919191913</v>
      </c>
      <c r="W3" s="9" t="s">
        <v>8</v>
      </c>
      <c r="X3" s="5">
        <v>2</v>
      </c>
      <c r="Y3" s="9">
        <v>3</v>
      </c>
      <c r="Z3" s="2" t="s">
        <v>57</v>
      </c>
      <c r="AA3" s="2" t="s">
        <v>4</v>
      </c>
      <c r="AB3" s="2" t="s">
        <v>62</v>
      </c>
      <c r="AC3" s="2" t="s">
        <v>19</v>
      </c>
      <c r="AD3" s="2">
        <v>20000</v>
      </c>
      <c r="AE3" s="10" t="s">
        <v>58</v>
      </c>
      <c r="AF3" s="35">
        <f>3600/E3*C3*22</f>
        <v>5657.1428571428578</v>
      </c>
    </row>
    <row r="4" spans="1:32" ht="28.5">
      <c r="A4" s="19">
        <v>3</v>
      </c>
      <c r="B4" s="2">
        <v>3265</v>
      </c>
      <c r="C4" s="2" t="s">
        <v>9</v>
      </c>
      <c r="D4" s="6" t="s">
        <v>52</v>
      </c>
      <c r="E4" s="2">
        <v>28</v>
      </c>
      <c r="F4" s="2" t="s">
        <v>53</v>
      </c>
      <c r="G4" s="3" t="s">
        <v>15</v>
      </c>
      <c r="H4" s="7" t="s">
        <v>63</v>
      </c>
      <c r="I4" s="30">
        <f>((72.8/3600*E4/1)*1.13)/2</f>
        <v>0.31991555555555551</v>
      </c>
      <c r="J4" s="30"/>
      <c r="K4" s="30">
        <f>(83.2/3600*E4/2 )*1.13</f>
        <v>0.36561777777777776</v>
      </c>
      <c r="L4" s="30">
        <f>360/AF4</f>
        <v>6.363636363636363E-2</v>
      </c>
      <c r="M4" s="31">
        <f t="shared" si="0"/>
        <v>0.38355191919191911</v>
      </c>
      <c r="N4" s="31"/>
      <c r="O4" s="32">
        <f t="shared" si="1"/>
        <v>0.42925414141414142</v>
      </c>
      <c r="P4" s="8">
        <v>11.41</v>
      </c>
      <c r="Q4" s="2">
        <v>10.4</v>
      </c>
      <c r="R4" s="3" t="s">
        <v>16</v>
      </c>
      <c r="S4" s="27">
        <v>0.55000000000000004</v>
      </c>
      <c r="T4" s="27">
        <v>0.53</v>
      </c>
      <c r="U4" s="33">
        <v>0.45</v>
      </c>
      <c r="V4" s="34">
        <v>0.46355191919191913</v>
      </c>
      <c r="W4" s="9" t="s">
        <v>7</v>
      </c>
      <c r="X4" s="5">
        <v>2</v>
      </c>
      <c r="Y4" s="9">
        <v>3</v>
      </c>
      <c r="Z4" s="2" t="s">
        <v>57</v>
      </c>
      <c r="AA4" s="2" t="s">
        <v>4</v>
      </c>
      <c r="AB4" s="2" t="s">
        <v>64</v>
      </c>
      <c r="AC4" s="2" t="s">
        <v>65</v>
      </c>
      <c r="AD4" s="2">
        <v>20000</v>
      </c>
      <c r="AE4" s="10" t="s">
        <v>18</v>
      </c>
      <c r="AF4" s="35">
        <f>3600/E4*2*22</f>
        <v>5657.1428571428578</v>
      </c>
    </row>
    <row r="5" spans="1:32" ht="42.75">
      <c r="A5" s="19">
        <v>4</v>
      </c>
      <c r="B5" s="2">
        <v>3151</v>
      </c>
      <c r="C5" s="2" t="s">
        <v>9</v>
      </c>
      <c r="D5" s="6" t="s">
        <v>52</v>
      </c>
      <c r="E5" s="2">
        <v>30</v>
      </c>
      <c r="F5" s="3" t="s">
        <v>66</v>
      </c>
      <c r="G5" s="3" t="s">
        <v>10</v>
      </c>
      <c r="H5" s="7" t="s">
        <v>23</v>
      </c>
      <c r="I5" s="30">
        <f>((72.8/3600*E5/1)*1.13)/2</f>
        <v>0.34276666666666666</v>
      </c>
      <c r="J5" s="30"/>
      <c r="K5" s="30">
        <f>(83.2/3600*E5/2 )*1.13</f>
        <v>0.39173333333333332</v>
      </c>
      <c r="L5" s="30"/>
      <c r="M5" s="31">
        <f t="shared" si="0"/>
        <v>0.34276666666666666</v>
      </c>
      <c r="N5" s="31"/>
      <c r="O5" s="32">
        <v>0.39173333333333332</v>
      </c>
      <c r="P5" s="8" t="s">
        <v>67</v>
      </c>
      <c r="Q5" s="2">
        <v>3.25</v>
      </c>
      <c r="R5" s="3" t="s">
        <v>68</v>
      </c>
      <c r="S5" s="27">
        <v>0.45</v>
      </c>
      <c r="T5" s="36">
        <v>0.45</v>
      </c>
      <c r="U5" s="33">
        <v>0.34276666666666666</v>
      </c>
      <c r="V5" s="33">
        <v>0.34276666666666666</v>
      </c>
      <c r="W5" s="9" t="s">
        <v>11</v>
      </c>
      <c r="X5" s="5">
        <v>1</v>
      </c>
      <c r="Y5" s="9">
        <v>2</v>
      </c>
      <c r="Z5" s="26" t="s">
        <v>24</v>
      </c>
      <c r="AA5" s="2" t="s">
        <v>4</v>
      </c>
      <c r="AB5" s="2" t="s">
        <v>69</v>
      </c>
      <c r="AC5" s="2"/>
      <c r="AD5" s="2">
        <v>10000</v>
      </c>
      <c r="AE5" s="2"/>
      <c r="AF5" s="35">
        <f>3600/E5*2*22</f>
        <v>5280</v>
      </c>
    </row>
    <row r="6" spans="1:32" ht="42.75">
      <c r="A6" s="19">
        <v>5</v>
      </c>
      <c r="B6" s="5">
        <v>3267</v>
      </c>
      <c r="C6" s="5" t="s">
        <v>70</v>
      </c>
      <c r="D6" s="20" t="s">
        <v>71</v>
      </c>
      <c r="E6" s="5">
        <v>25</v>
      </c>
      <c r="F6" s="5" t="s">
        <v>53</v>
      </c>
      <c r="G6" s="14" t="s">
        <v>17</v>
      </c>
      <c r="H6" s="12" t="s">
        <v>72</v>
      </c>
      <c r="I6" s="37">
        <f>((68.4/3600*E6/1)*1.13)/2</f>
        <v>0.26837500000000003</v>
      </c>
      <c r="J6" s="30"/>
      <c r="K6" s="30">
        <f>((78.1/3600*E6/1)*1.13)/2</f>
        <v>0.30643402777777773</v>
      </c>
      <c r="L6" s="30"/>
      <c r="M6" s="31">
        <f t="shared" si="0"/>
        <v>0.26837500000000003</v>
      </c>
      <c r="N6" s="31"/>
      <c r="O6" s="32">
        <v>0.30643402777777773</v>
      </c>
      <c r="P6" s="13">
        <v>2.85</v>
      </c>
      <c r="Q6" s="5">
        <v>3.17</v>
      </c>
      <c r="R6" s="14" t="s">
        <v>73</v>
      </c>
      <c r="S6" s="28">
        <v>0.38</v>
      </c>
      <c r="T6" s="38">
        <v>0.35</v>
      </c>
      <c r="U6" s="39">
        <v>0.32</v>
      </c>
      <c r="V6" s="39">
        <v>0.34837500000000005</v>
      </c>
      <c r="W6" s="15" t="s">
        <v>12</v>
      </c>
      <c r="X6" s="5">
        <v>1</v>
      </c>
      <c r="Y6" s="15">
        <v>1</v>
      </c>
      <c r="Z6" s="5"/>
      <c r="AA6" s="5" t="s">
        <v>4</v>
      </c>
      <c r="AB6" s="5" t="s">
        <v>74</v>
      </c>
      <c r="AC6" s="5" t="s">
        <v>75</v>
      </c>
      <c r="AD6" s="5">
        <v>20000</v>
      </c>
      <c r="AE6" s="16" t="s">
        <v>76</v>
      </c>
      <c r="AF6" s="35">
        <f>3600/E6*2*22</f>
        <v>6336</v>
      </c>
    </row>
    <row r="7" spans="1:32" ht="15.75">
      <c r="A7" s="19">
        <v>6</v>
      </c>
      <c r="B7" s="5" t="s">
        <v>77</v>
      </c>
      <c r="C7" s="5" t="s">
        <v>78</v>
      </c>
      <c r="D7" s="6" t="s">
        <v>79</v>
      </c>
      <c r="E7" s="2">
        <v>30</v>
      </c>
      <c r="F7" s="5" t="s">
        <v>80</v>
      </c>
      <c r="G7" s="14" t="s">
        <v>81</v>
      </c>
      <c r="H7" s="12" t="s">
        <v>82</v>
      </c>
      <c r="I7" s="30">
        <f>(72.8/3600*E7/2)*1.13</f>
        <v>0.34276666666666666</v>
      </c>
      <c r="J7" s="30"/>
      <c r="K7" s="30">
        <f>(83.2/3600*E7/2 )*1.13</f>
        <v>0.39173333333333332</v>
      </c>
      <c r="L7" s="30"/>
      <c r="M7" s="31">
        <f t="shared" si="0"/>
        <v>0.34276666666666666</v>
      </c>
      <c r="N7" s="31"/>
      <c r="O7" s="32">
        <v>0.39173333333333332</v>
      </c>
      <c r="P7" s="8" t="s">
        <v>83</v>
      </c>
      <c r="Q7" s="13">
        <v>3.28</v>
      </c>
      <c r="R7" s="3" t="s">
        <v>84</v>
      </c>
      <c r="S7" s="29">
        <v>0.38</v>
      </c>
      <c r="T7" s="40">
        <v>0.35</v>
      </c>
      <c r="U7" s="33">
        <v>0.34276666666666666</v>
      </c>
      <c r="V7" s="33">
        <v>0.34276666666666666</v>
      </c>
      <c r="W7" s="9" t="s">
        <v>11</v>
      </c>
      <c r="X7" s="5">
        <v>1</v>
      </c>
      <c r="Y7" s="9">
        <v>2</v>
      </c>
      <c r="Z7" s="1"/>
      <c r="AA7" s="5" t="s">
        <v>4</v>
      </c>
      <c r="AB7" s="2" t="s">
        <v>85</v>
      </c>
      <c r="AC7" s="2"/>
      <c r="AD7" s="2">
        <v>10000</v>
      </c>
      <c r="AE7" s="4"/>
      <c r="AF7" s="35">
        <f>3600/E7*2*22</f>
        <v>5280</v>
      </c>
    </row>
    <row r="8" spans="1:32">
      <c r="A8" s="19">
        <v>7</v>
      </c>
      <c r="B8" s="19">
        <v>3307</v>
      </c>
      <c r="C8" s="5" t="s">
        <v>78</v>
      </c>
      <c r="D8" s="6" t="s">
        <v>79</v>
      </c>
      <c r="E8" s="2">
        <v>30</v>
      </c>
      <c r="F8" s="5" t="s">
        <v>80</v>
      </c>
      <c r="G8" s="4" t="s">
        <v>86</v>
      </c>
      <c r="H8" s="17" t="s">
        <v>87</v>
      </c>
      <c r="I8" s="30">
        <f>(72.8/3600*E8/2)*1.13</f>
        <v>0.34276666666666666</v>
      </c>
      <c r="J8" s="30"/>
      <c r="K8" s="30">
        <f>(83.2/3600*E8/2 )*1.13</f>
        <v>0.39173333333333332</v>
      </c>
      <c r="L8" s="30"/>
      <c r="M8" s="31">
        <f t="shared" si="0"/>
        <v>0.34276666666666666</v>
      </c>
      <c r="N8" s="31"/>
      <c r="O8" s="32">
        <v>0.39173333333333332</v>
      </c>
      <c r="P8" s="4">
        <v>21.71</v>
      </c>
      <c r="Q8" s="4">
        <v>3.26</v>
      </c>
      <c r="R8" s="3" t="s">
        <v>84</v>
      </c>
      <c r="S8" s="29">
        <v>0.38</v>
      </c>
      <c r="T8" s="40">
        <v>0.35</v>
      </c>
      <c r="U8" s="33">
        <v>0.34276666666666666</v>
      </c>
      <c r="V8" s="33">
        <v>0.34276666666666666</v>
      </c>
      <c r="W8" s="9" t="s">
        <v>11</v>
      </c>
      <c r="X8" s="5">
        <v>1</v>
      </c>
      <c r="Y8" s="9">
        <v>2</v>
      </c>
      <c r="Z8" s="4"/>
      <c r="AA8" s="5" t="s">
        <v>4</v>
      </c>
      <c r="AB8" s="2" t="s">
        <v>85</v>
      </c>
      <c r="AC8" s="2"/>
      <c r="AD8" s="2">
        <v>10000</v>
      </c>
      <c r="AE8" s="4"/>
      <c r="AF8" s="35">
        <f>3600/E8*2*22</f>
        <v>5280</v>
      </c>
    </row>
    <row r="9" spans="1:32">
      <c r="A9" s="19">
        <v>8</v>
      </c>
      <c r="B9" s="19">
        <v>2742</v>
      </c>
      <c r="C9" s="4" t="s">
        <v>88</v>
      </c>
      <c r="D9" s="4" t="s">
        <v>89</v>
      </c>
      <c r="E9" s="4">
        <v>27</v>
      </c>
      <c r="F9" s="4" t="s">
        <v>90</v>
      </c>
      <c r="G9" s="4" t="s">
        <v>91</v>
      </c>
      <c r="H9" s="17" t="s">
        <v>92</v>
      </c>
      <c r="I9" s="37">
        <f>(73.44/3600*E9/4)*1.13</f>
        <v>0.15560099999999996</v>
      </c>
      <c r="J9" s="37">
        <f>(80/3600*E9/4)*1.13</f>
        <v>0.16949999999999998</v>
      </c>
      <c r="K9" s="30">
        <f>(84.4/3600*E9/4)*1.13</f>
        <v>0.1788225</v>
      </c>
      <c r="L9" s="30"/>
      <c r="M9" s="31">
        <f t="shared" si="0"/>
        <v>0.15560099999999996</v>
      </c>
      <c r="N9" s="31">
        <f>J9+L9</f>
        <v>0.16949999999999998</v>
      </c>
      <c r="O9" s="32">
        <v>0.1788225</v>
      </c>
      <c r="P9" s="4">
        <v>12.1</v>
      </c>
      <c r="Q9" s="4">
        <v>2.11</v>
      </c>
      <c r="R9" s="4" t="s">
        <v>22</v>
      </c>
      <c r="S9" s="50">
        <v>0.503</v>
      </c>
      <c r="T9" s="41" t="s">
        <v>25</v>
      </c>
      <c r="U9" s="52" t="s">
        <v>93</v>
      </c>
      <c r="V9" s="54" t="s">
        <v>94</v>
      </c>
      <c r="W9" s="4"/>
      <c r="X9" s="4">
        <v>1</v>
      </c>
      <c r="Y9" s="4"/>
      <c r="Z9" s="56" t="s">
        <v>26</v>
      </c>
      <c r="AA9" s="4"/>
      <c r="AB9" s="4"/>
      <c r="AC9" s="4"/>
      <c r="AD9" s="4">
        <v>100000</v>
      </c>
      <c r="AE9" s="4"/>
      <c r="AF9" s="35">
        <f>3600/E9*4*22</f>
        <v>11733.333333333334</v>
      </c>
    </row>
    <row r="10" spans="1:32" ht="37.9" customHeight="1">
      <c r="A10" s="19">
        <v>9</v>
      </c>
      <c r="B10" s="19">
        <v>2743</v>
      </c>
      <c r="C10" s="4" t="s">
        <v>21</v>
      </c>
      <c r="D10" s="6" t="s">
        <v>95</v>
      </c>
      <c r="E10" s="4">
        <v>27</v>
      </c>
      <c r="F10" s="4" t="s">
        <v>96</v>
      </c>
      <c r="G10" s="4" t="s">
        <v>97</v>
      </c>
      <c r="H10" s="4" t="s">
        <v>98</v>
      </c>
      <c r="I10" s="37">
        <f>(61.2/3600*E10/4)*1.13</f>
        <v>0.12966749999999999</v>
      </c>
      <c r="J10" s="37">
        <f>(68/3600*E10/4)*1.13</f>
        <v>0.14407499999999998</v>
      </c>
      <c r="K10" s="30">
        <f>(70.25/3600*E10/4 )*1.13</f>
        <v>0.14884218749999997</v>
      </c>
      <c r="L10" s="30"/>
      <c r="M10" s="31">
        <f t="shared" si="0"/>
        <v>0.12966749999999999</v>
      </c>
      <c r="N10" s="31">
        <f t="shared" ref="N10:N12" si="2">J10+L10</f>
        <v>0.14407499999999998</v>
      </c>
      <c r="O10" s="32">
        <v>0.29768437499999995</v>
      </c>
      <c r="P10" s="4">
        <v>17.940000000000001</v>
      </c>
      <c r="Q10" s="4">
        <v>4.75</v>
      </c>
      <c r="R10" s="4" t="s">
        <v>99</v>
      </c>
      <c r="S10" s="51"/>
      <c r="T10" s="41" t="s">
        <v>25</v>
      </c>
      <c r="U10" s="53"/>
      <c r="V10" s="55"/>
      <c r="W10" s="4"/>
      <c r="X10" s="4">
        <v>1</v>
      </c>
      <c r="Y10" s="4"/>
      <c r="Z10" s="57"/>
      <c r="AA10" s="4"/>
      <c r="AB10" s="4"/>
      <c r="AC10" s="4"/>
      <c r="AD10" s="4">
        <v>100000</v>
      </c>
      <c r="AE10" s="4"/>
      <c r="AF10" s="35">
        <f>3600/E10*4*22</f>
        <v>11733.333333333334</v>
      </c>
    </row>
    <row r="11" spans="1:32" ht="18.75">
      <c r="A11" s="19">
        <v>10</v>
      </c>
      <c r="B11" s="19">
        <v>2465</v>
      </c>
      <c r="C11" s="4" t="s">
        <v>20</v>
      </c>
      <c r="D11" s="6" t="s">
        <v>100</v>
      </c>
      <c r="E11" s="4">
        <v>30</v>
      </c>
      <c r="F11" s="17" t="s">
        <v>101</v>
      </c>
      <c r="G11" s="4" t="s">
        <v>102</v>
      </c>
      <c r="H11" s="4" t="s">
        <v>103</v>
      </c>
      <c r="I11" s="37">
        <f>(61.2/3600*E11/2)*1.13</f>
        <v>0.28814999999999996</v>
      </c>
      <c r="J11" s="37">
        <f>(68/3600*E11/2)*1.13</f>
        <v>0.32016666666666665</v>
      </c>
      <c r="K11" s="30">
        <f>(70.25/3600*E11/2 )*1.13</f>
        <v>0.33076041666666667</v>
      </c>
      <c r="L11" s="30"/>
      <c r="M11" s="31">
        <f t="shared" si="0"/>
        <v>0.28814999999999996</v>
      </c>
      <c r="N11" s="42">
        <f t="shared" si="2"/>
        <v>0.32016666666666665</v>
      </c>
      <c r="O11" s="32">
        <v>0.33076041666666667</v>
      </c>
      <c r="P11" s="4">
        <v>22.05</v>
      </c>
      <c r="Q11" s="4">
        <v>7.89</v>
      </c>
      <c r="R11" s="4" t="s">
        <v>104</v>
      </c>
      <c r="S11" s="43">
        <v>0.45</v>
      </c>
      <c r="T11" s="43">
        <v>0.43</v>
      </c>
      <c r="U11" s="44">
        <v>0.32016666666666665</v>
      </c>
      <c r="V11" s="45">
        <v>0.32016666666666665</v>
      </c>
      <c r="W11" s="4"/>
      <c r="X11" s="4">
        <v>1</v>
      </c>
      <c r="Y11" s="4"/>
      <c r="Z11" s="26" t="s">
        <v>105</v>
      </c>
      <c r="AA11" s="4"/>
      <c r="AB11" s="4"/>
      <c r="AC11" s="4"/>
      <c r="AD11" s="4">
        <v>20000</v>
      </c>
      <c r="AE11" s="4"/>
      <c r="AF11" s="35">
        <f>3600/E11*2*22</f>
        <v>5280</v>
      </c>
    </row>
    <row r="12" spans="1:32" ht="42.75">
      <c r="A12" s="19">
        <v>11</v>
      </c>
      <c r="B12" s="2">
        <v>2784</v>
      </c>
      <c r="C12" s="2">
        <v>4</v>
      </c>
      <c r="D12" s="6" t="s">
        <v>106</v>
      </c>
      <c r="E12" s="2">
        <v>38</v>
      </c>
      <c r="F12" s="3" t="s">
        <v>107</v>
      </c>
      <c r="G12" s="3" t="s">
        <v>108</v>
      </c>
      <c r="H12" s="7" t="s">
        <v>109</v>
      </c>
      <c r="I12" s="46">
        <f>(61.2/3600*E12/C12)*1.13</f>
        <v>0.18249499999999999</v>
      </c>
      <c r="J12" s="46">
        <f>(65/3600*E12/C12)*1.13</f>
        <v>0.19382638888888884</v>
      </c>
      <c r="K12" s="47">
        <f>(70.25/3600*E12/C12)*1.13</f>
        <v>0.2094815972222222</v>
      </c>
      <c r="L12" s="47">
        <f>360/AF12</f>
        <v>4.3181818181818182E-2</v>
      </c>
      <c r="M12" s="32">
        <f t="shared" si="0"/>
        <v>0.22567681818181817</v>
      </c>
      <c r="N12" s="48">
        <f t="shared" si="2"/>
        <v>0.23700820707070702</v>
      </c>
      <c r="O12" s="32">
        <f t="shared" si="1"/>
        <v>0.25266341540404036</v>
      </c>
      <c r="P12" s="2">
        <v>4.2</v>
      </c>
      <c r="Q12" s="2">
        <v>6.5</v>
      </c>
      <c r="R12" s="3" t="s">
        <v>110</v>
      </c>
      <c r="S12" s="29">
        <v>0.35</v>
      </c>
      <c r="T12" s="29">
        <v>0.33</v>
      </c>
      <c r="U12" s="34">
        <v>0.23700820707070702</v>
      </c>
      <c r="V12" s="33">
        <v>0.23700820707070702</v>
      </c>
      <c r="W12" s="9" t="s">
        <v>6</v>
      </c>
      <c r="X12" s="2">
        <v>3</v>
      </c>
      <c r="Y12" s="9">
        <v>3</v>
      </c>
      <c r="Z12" s="26" t="s">
        <v>111</v>
      </c>
      <c r="AA12" s="3" t="s">
        <v>13</v>
      </c>
      <c r="AB12" s="2" t="s">
        <v>112</v>
      </c>
      <c r="AC12" s="11">
        <v>44185</v>
      </c>
      <c r="AD12" s="2">
        <v>10000</v>
      </c>
      <c r="AE12" s="4"/>
      <c r="AF12" s="35">
        <f>3600/E12*C12*22</f>
        <v>8336.8421052631584</v>
      </c>
    </row>
  </sheetData>
  <mergeCells count="4">
    <mergeCell ref="S9:S10"/>
    <mergeCell ref="U9:U10"/>
    <mergeCell ref="V9:V10"/>
    <mergeCell ref="Z9:Z10"/>
  </mergeCells>
  <phoneticPr fontId="1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" sqref="H2"/>
    </sheetView>
  </sheetViews>
  <sheetFormatPr defaultRowHeight="14.2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"/>
    </sheetView>
  </sheetViews>
  <sheetFormatPr defaultRowHeight="14.25"/>
  <sheetData/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20.12.5 核定价格12.10</vt:lpstr>
      <vt:lpstr>祥舜回复</vt:lpstr>
      <vt:lpstr>鑫厦回复</vt:lpstr>
      <vt:lpstr>梅庄回复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2021-01-09T03:01:00Z</dcterms:modified>
</cp:coreProperties>
</file>